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autoCompressPictures="0"/>
  <mc:AlternateContent xmlns:mc="http://schemas.openxmlformats.org/markup-compatibility/2006">
    <mc:Choice Requires="x15">
      <x15ac:absPath xmlns:x15ac="http://schemas.microsoft.com/office/spreadsheetml/2010/11/ac" url="https://mcssco-my.sharepoint.com/personal/adam_padilla_mcscertified_com/Documents/Documents/"/>
    </mc:Choice>
  </mc:AlternateContent>
  <xr:revisionPtr revIDLastSave="1588" documentId="8_{47503640-6B76-4082-9F33-0C12C46DF9D2}" xr6:coauthVersionLast="47" xr6:coauthVersionMax="47" xr10:uidLastSave="{A0D9E6F3-E1F0-4068-83BD-6B2B11A85B25}"/>
  <bookViews>
    <workbookView xWindow="-120" yWindow="-120" windowWidth="29040" windowHeight="15840" xr2:uid="{00000000-000D-0000-FFFF-FFFF00000000}"/>
  </bookViews>
  <sheets>
    <sheet name="Notes &amp; Usage" sheetId="21" r:id="rId1"/>
    <sheet name="ErP Inputs" sheetId="14" r:id="rId2"/>
    <sheet name="Low SCOP" sheetId="6" r:id="rId3"/>
    <sheet name="Intermediate SCOP" sheetId="18" r:id="rId4"/>
    <sheet name="Medium SCOP" sheetId="16" r:id="rId5"/>
    <sheet name="High SCOP" sheetId="15" r:id="rId6"/>
    <sheet name="Table 37" sheetId="1" state="hidden" r:id="rId7"/>
    <sheet name="Version control" sheetId="22" r:id="rId8"/>
    <sheet name="Changes" sheetId="17" state="hidden" r:id="rId9"/>
  </sheets>
  <externalReferences>
    <externalReference r:id="rId10"/>
    <externalReference r:id="rId11"/>
  </externalReferences>
  <definedNames>
    <definedName name="COPPL_a" localSheetId="5">'High SCOP'!$N$15</definedName>
    <definedName name="COPPL_a" localSheetId="3">'Intermediate SCOP'!$M$15</definedName>
    <definedName name="COPPL_a" localSheetId="2">'Low SCOP'!$M$15</definedName>
    <definedName name="COPPL_a" localSheetId="4">'Medium SCOP'!$N$15</definedName>
    <definedName name="COPPL_b" localSheetId="5">'High SCOP'!$N$16</definedName>
    <definedName name="COPPL_b" localSheetId="3">'Intermediate SCOP'!$M$16</definedName>
    <definedName name="COPPL_b" localSheetId="2">'Low SCOP'!$M$16</definedName>
    <definedName name="COPPL_b" localSheetId="4">'Medium SCOP'!$N$16</definedName>
    <definedName name="COPPL_c" localSheetId="5">'High SCOP'!$N$17</definedName>
    <definedName name="COPPL_c" localSheetId="3">'Intermediate SCOP'!$M$17</definedName>
    <definedName name="COPPL_c" localSheetId="2">'Low SCOP'!$M$17</definedName>
    <definedName name="COPPL_c" localSheetId="4">'Medium SCOP'!$N$17</definedName>
    <definedName name="COPPL_d" localSheetId="5">'High SCOP'!$N$18</definedName>
    <definedName name="COPPL_d" localSheetId="3">'Intermediate SCOP'!$M$18</definedName>
    <definedName name="COPPL_d" localSheetId="2">'Low SCOP'!$M$18</definedName>
    <definedName name="COPPL_d" localSheetId="4">'Medium SCOP'!$N$18</definedName>
    <definedName name="COPPL_Tbiv" localSheetId="5">'High SCOP'!$N$20</definedName>
    <definedName name="COPPL_Tbiv" localSheetId="3">'Intermediate SCOP'!$M$20</definedName>
    <definedName name="COPPL_Tbiv" localSheetId="2">'Low SCOP'!$M$20</definedName>
    <definedName name="COPPL_Tbiv" localSheetId="4">'Medium SCOP'!$N$20</definedName>
    <definedName name="COPPL_TOL" localSheetId="5">'High SCOP'!$N$19</definedName>
    <definedName name="COPPL_TOL" localSheetId="3">'Intermediate SCOP'!$M$19</definedName>
    <definedName name="COPPL_TOL" localSheetId="2">'Low SCOP'!$M$19</definedName>
    <definedName name="COPPL_TOL" localSheetId="4">'Medium SCOP'!$N$19</definedName>
    <definedName name="Existing">#REF!</definedName>
    <definedName name="New">#REF!</definedName>
    <definedName name="QH_gen_out">'[1]Climate Data'!$D$14</definedName>
    <definedName name="QW_gen_out">'[1]Climate Data'!$D$15</definedName>
    <definedName name="System">#REF!</definedName>
    <definedName name="Tdesignh" localSheetId="5">'High SCOP'!$D$4</definedName>
    <definedName name="Tdesignh" localSheetId="3">'Intermediate SCOP'!$C$4</definedName>
    <definedName name="Tdesignh" localSheetId="2">'Low SCOP'!$C$4</definedName>
    <definedName name="Tdesignh" localSheetId="4">'Medium SCOP'!$D$4</definedName>
    <definedName name="θe_design">'[1]Climate Data'!$E$19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7" i="14" l="1"/>
  <c r="P33" i="14"/>
  <c r="B18" i="14" l="1"/>
  <c r="B23" i="14"/>
  <c r="E29" i="14"/>
  <c r="J37" i="14"/>
  <c r="J33" i="14"/>
  <c r="J29" i="14"/>
  <c r="L29" i="14"/>
  <c r="L33" i="14"/>
  <c r="N37" i="14"/>
  <c r="P29" i="14"/>
  <c r="F17" i="14" l="1"/>
  <c r="E10" i="14"/>
  <c r="B51" i="14" l="1"/>
  <c r="B30" i="14" l="1"/>
  <c r="B38" i="14"/>
  <c r="B34" i="14"/>
  <c r="B21" i="14"/>
  <c r="B20" i="14"/>
  <c r="B19" i="14"/>
  <c r="H23" i="14"/>
  <c r="F23" i="14"/>
  <c r="D23" i="14"/>
  <c r="B66"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69" i="14"/>
  <c r="B70" i="14"/>
  <c r="B68" i="14"/>
  <c r="B67" i="14"/>
  <c r="D15" i="6"/>
  <c r="D16" i="6"/>
  <c r="D17" i="6"/>
  <c r="D18" i="6"/>
  <c r="K20" i="15"/>
  <c r="K19" i="15"/>
  <c r="K18" i="15"/>
  <c r="K17" i="15"/>
  <c r="K16" i="15"/>
  <c r="K15" i="15"/>
  <c r="K20" i="16"/>
  <c r="K19" i="16"/>
  <c r="K18" i="16"/>
  <c r="K17" i="16"/>
  <c r="K16" i="16"/>
  <c r="K15" i="16"/>
  <c r="J20" i="18"/>
  <c r="J19" i="18"/>
  <c r="J18" i="18"/>
  <c r="J17" i="18"/>
  <c r="J16" i="18"/>
  <c r="J15" i="18"/>
  <c r="J19" i="6"/>
  <c r="J18" i="6"/>
  <c r="J17" i="6"/>
  <c r="J16" i="6"/>
  <c r="J15" i="6"/>
  <c r="K5" i="15"/>
  <c r="K5" i="16"/>
  <c r="J5" i="18"/>
  <c r="J5" i="15"/>
  <c r="J5" i="16"/>
  <c r="I5" i="18"/>
  <c r="N5" i="15"/>
  <c r="N5" i="16"/>
  <c r="M5" i="18"/>
  <c r="M5" i="6"/>
  <c r="J5" i="6"/>
  <c r="I5" i="6"/>
  <c r="O50" i="14"/>
  <c r="P50" i="14"/>
  <c r="E20" i="18" s="1"/>
  <c r="N50" i="14"/>
  <c r="E19" i="18" s="1"/>
  <c r="L50" i="14"/>
  <c r="E18" i="18" s="1"/>
  <c r="J50" i="14"/>
  <c r="E17" i="18" s="1"/>
  <c r="H50" i="14"/>
  <c r="E16" i="18" s="1"/>
  <c r="F50" i="14"/>
  <c r="E15" i="18" s="1"/>
  <c r="M50" i="14"/>
  <c r="K50" i="14"/>
  <c r="I50" i="14"/>
  <c r="G50" i="14"/>
  <c r="E50" i="14"/>
  <c r="F19" i="15"/>
  <c r="L37" i="14"/>
  <c r="F18" i="15" s="1"/>
  <c r="F17" i="15"/>
  <c r="H37" i="14"/>
  <c r="F16" i="15" s="1"/>
  <c r="F37" i="14"/>
  <c r="F15" i="15" s="1"/>
  <c r="N33" i="14"/>
  <c r="F19" i="16" s="1"/>
  <c r="F18" i="16"/>
  <c r="F17" i="16"/>
  <c r="H33" i="14"/>
  <c r="F16" i="16" s="1"/>
  <c r="F33" i="14"/>
  <c r="F15" i="16" s="1"/>
  <c r="N29" i="14"/>
  <c r="E18" i="6"/>
  <c r="E17" i="6"/>
  <c r="G37" i="14"/>
  <c r="G33" i="14"/>
  <c r="G29" i="14"/>
  <c r="H29" i="14"/>
  <c r="F29" i="14"/>
  <c r="O37" i="14"/>
  <c r="O33" i="14"/>
  <c r="O29" i="14"/>
  <c r="M37" i="14"/>
  <c r="M33" i="14"/>
  <c r="M29" i="14"/>
  <c r="K37" i="14"/>
  <c r="K33" i="14"/>
  <c r="K29" i="14"/>
  <c r="I37" i="14"/>
  <c r="I33" i="14"/>
  <c r="I29" i="14"/>
  <c r="E37" i="14"/>
  <c r="E33" i="14"/>
  <c r="F20" i="15"/>
  <c r="F20" i="16"/>
  <c r="E9" i="14"/>
  <c r="Q39" i="14" s="1"/>
  <c r="E60" i="14" s="1"/>
  <c r="H15" i="6"/>
  <c r="H32" i="6" s="1"/>
  <c r="H16" i="6"/>
  <c r="H41" i="6" s="1"/>
  <c r="H18" i="14"/>
  <c r="D19" i="15"/>
  <c r="D5" i="15"/>
  <c r="F31" i="15"/>
  <c r="F32" i="15"/>
  <c r="I15" i="15"/>
  <c r="F33" i="15"/>
  <c r="I16" i="15"/>
  <c r="I41" i="15" s="1"/>
  <c r="F34" i="15"/>
  <c r="F35" i="15"/>
  <c r="F36" i="15"/>
  <c r="F37" i="15"/>
  <c r="F38" i="15"/>
  <c r="F39" i="15"/>
  <c r="F40" i="15"/>
  <c r="F41" i="15"/>
  <c r="F42" i="15"/>
  <c r="I17" i="15"/>
  <c r="F43" i="15"/>
  <c r="F44" i="15"/>
  <c r="F45" i="15"/>
  <c r="F46" i="15"/>
  <c r="F47" i="15"/>
  <c r="I18" i="15"/>
  <c r="F48" i="15"/>
  <c r="F49" i="15"/>
  <c r="F50" i="15"/>
  <c r="F51" i="15"/>
  <c r="F52" i="15"/>
  <c r="F53" i="15"/>
  <c r="F54" i="15"/>
  <c r="F30" i="15"/>
  <c r="I15" i="16"/>
  <c r="I32" i="16" s="1"/>
  <c r="I19" i="16"/>
  <c r="D19" i="16"/>
  <c r="H20" i="14"/>
  <c r="F20" i="14" s="1"/>
  <c r="D20" i="16"/>
  <c r="G20" i="16" s="1"/>
  <c r="D5" i="16"/>
  <c r="F31" i="16"/>
  <c r="F32" i="16"/>
  <c r="I16" i="16"/>
  <c r="I41" i="16" s="1"/>
  <c r="F33" i="16"/>
  <c r="F34" i="16"/>
  <c r="F35" i="16"/>
  <c r="F36" i="16"/>
  <c r="F37" i="16"/>
  <c r="F38" i="16"/>
  <c r="F39" i="16"/>
  <c r="F40" i="16"/>
  <c r="F41" i="16"/>
  <c r="I17" i="16"/>
  <c r="I46" i="16" s="1"/>
  <c r="F42" i="16"/>
  <c r="F43" i="16"/>
  <c r="F44" i="16"/>
  <c r="F45" i="16"/>
  <c r="F46" i="16"/>
  <c r="I18" i="16"/>
  <c r="F47" i="16"/>
  <c r="F48" i="16"/>
  <c r="F49" i="16"/>
  <c r="F50" i="16"/>
  <c r="F51" i="16"/>
  <c r="F52" i="16"/>
  <c r="F53" i="16"/>
  <c r="F54" i="16"/>
  <c r="F30" i="16"/>
  <c r="H15" i="18"/>
  <c r="H19" i="18"/>
  <c r="C19" i="18"/>
  <c r="F19" i="18" s="1"/>
  <c r="C5" i="18"/>
  <c r="E31" i="18"/>
  <c r="E32" i="18"/>
  <c r="H16" i="18"/>
  <c r="H41" i="18" s="1"/>
  <c r="E33" i="18"/>
  <c r="E34" i="18"/>
  <c r="E35" i="18"/>
  <c r="E36" i="18"/>
  <c r="E37" i="18"/>
  <c r="E38" i="18"/>
  <c r="E39" i="18"/>
  <c r="E40" i="18"/>
  <c r="E41" i="18"/>
  <c r="H17" i="18"/>
  <c r="H46" i="18" s="1"/>
  <c r="E42" i="18"/>
  <c r="E43" i="18"/>
  <c r="E44" i="18"/>
  <c r="E45" i="18"/>
  <c r="E46" i="18"/>
  <c r="H18" i="18"/>
  <c r="E47" i="18"/>
  <c r="E48" i="18"/>
  <c r="E49" i="18"/>
  <c r="E50" i="18"/>
  <c r="E51" i="18"/>
  <c r="E52" i="18"/>
  <c r="E53" i="18"/>
  <c r="E54" i="18"/>
  <c r="E30" i="18"/>
  <c r="F29" i="15"/>
  <c r="F29" i="16"/>
  <c r="E29" i="18"/>
  <c r="C5" i="6"/>
  <c r="E41" i="6"/>
  <c r="F16" i="6"/>
  <c r="I16" i="6"/>
  <c r="D41" i="6"/>
  <c r="E38" i="6"/>
  <c r="F15" i="6"/>
  <c r="I15" i="6"/>
  <c r="D38" i="6"/>
  <c r="E39" i="6"/>
  <c r="D39" i="6"/>
  <c r="E32" i="6"/>
  <c r="D32" i="6"/>
  <c r="H19" i="6"/>
  <c r="C19" i="6"/>
  <c r="D19" i="6" s="1"/>
  <c r="E30" i="6"/>
  <c r="I19" i="6"/>
  <c r="D30" i="6"/>
  <c r="E31" i="6"/>
  <c r="D31" i="6"/>
  <c r="E33" i="6"/>
  <c r="D33" i="6"/>
  <c r="E34" i="6"/>
  <c r="D34" i="6"/>
  <c r="E35" i="6"/>
  <c r="D35" i="6"/>
  <c r="E36" i="6"/>
  <c r="D36" i="6"/>
  <c r="E37" i="6"/>
  <c r="D37" i="6"/>
  <c r="E40" i="6"/>
  <c r="D40" i="6"/>
  <c r="E29" i="6"/>
  <c r="D29" i="6"/>
  <c r="H17" i="6"/>
  <c r="H46" i="6" s="1"/>
  <c r="E42" i="6"/>
  <c r="F17" i="6"/>
  <c r="I17" i="6"/>
  <c r="D42" i="6"/>
  <c r="E43" i="6"/>
  <c r="D43" i="6"/>
  <c r="E44" i="6"/>
  <c r="D44" i="6"/>
  <c r="E45" i="6"/>
  <c r="D45" i="6"/>
  <c r="E46" i="6"/>
  <c r="D46" i="6"/>
  <c r="H18" i="6"/>
  <c r="H51" i="6" s="1"/>
  <c r="E47" i="6"/>
  <c r="F18" i="6"/>
  <c r="I18" i="6"/>
  <c r="D47" i="6"/>
  <c r="E48" i="6"/>
  <c r="D48" i="6"/>
  <c r="E49" i="6"/>
  <c r="D49" i="6"/>
  <c r="E50" i="6"/>
  <c r="D50" i="6"/>
  <c r="E51" i="6"/>
  <c r="D51" i="6"/>
  <c r="E52" i="6"/>
  <c r="D52" i="6"/>
  <c r="E53" i="6"/>
  <c r="D53" i="6"/>
  <c r="E54" i="6"/>
  <c r="D54" i="6"/>
  <c r="I19" i="15"/>
  <c r="I20" i="16"/>
  <c r="J16" i="15"/>
  <c r="G16" i="15"/>
  <c r="H21" i="14"/>
  <c r="F21" i="14" s="1"/>
  <c r="D20" i="15"/>
  <c r="G20" i="15" s="1"/>
  <c r="I20" i="15"/>
  <c r="J20" i="15"/>
  <c r="G15" i="15"/>
  <c r="E33" i="15"/>
  <c r="E34" i="15"/>
  <c r="E35" i="15"/>
  <c r="E36" i="15"/>
  <c r="E37" i="15"/>
  <c r="E38" i="15"/>
  <c r="E39" i="15"/>
  <c r="E40" i="15"/>
  <c r="E41" i="15"/>
  <c r="G17" i="15"/>
  <c r="J17" i="15"/>
  <c r="E42" i="15"/>
  <c r="E43" i="15"/>
  <c r="E44" i="15"/>
  <c r="E45" i="15"/>
  <c r="J15" i="15"/>
  <c r="J19" i="15"/>
  <c r="E30" i="15"/>
  <c r="E31" i="15"/>
  <c r="G18" i="15"/>
  <c r="J18" i="15"/>
  <c r="E47" i="15"/>
  <c r="E48" i="15"/>
  <c r="E49" i="15"/>
  <c r="E50" i="15"/>
  <c r="E52" i="15"/>
  <c r="E53" i="15"/>
  <c r="E29" i="15"/>
  <c r="E32" i="15"/>
  <c r="E55" i="15" s="1"/>
  <c r="E46" i="15"/>
  <c r="E51" i="15"/>
  <c r="E54" i="15"/>
  <c r="E8" i="14"/>
  <c r="Q34" i="14" s="1"/>
  <c r="G15" i="16"/>
  <c r="J15" i="16"/>
  <c r="J19" i="16"/>
  <c r="E30" i="16"/>
  <c r="E31" i="16"/>
  <c r="G16" i="16"/>
  <c r="J16" i="16"/>
  <c r="E33" i="16"/>
  <c r="E34" i="16"/>
  <c r="E35" i="16"/>
  <c r="E36" i="16"/>
  <c r="E37" i="16"/>
  <c r="E38" i="16"/>
  <c r="E39" i="16"/>
  <c r="E40" i="16"/>
  <c r="G17" i="16"/>
  <c r="J17" i="16"/>
  <c r="E42" i="16"/>
  <c r="E43" i="16"/>
  <c r="E44" i="16"/>
  <c r="E45" i="16"/>
  <c r="G18" i="16"/>
  <c r="J18" i="16"/>
  <c r="E47" i="16"/>
  <c r="E48" i="16"/>
  <c r="E49" i="16"/>
  <c r="E50" i="16"/>
  <c r="E52" i="16"/>
  <c r="E53" i="16"/>
  <c r="E54" i="16"/>
  <c r="E29" i="16"/>
  <c r="E32" i="16"/>
  <c r="E41" i="16"/>
  <c r="E46" i="16"/>
  <c r="E51" i="16"/>
  <c r="D29" i="18"/>
  <c r="D30" i="18"/>
  <c r="D31" i="18"/>
  <c r="D32" i="18"/>
  <c r="D33" i="18"/>
  <c r="D34" i="18"/>
  <c r="D35" i="18"/>
  <c r="D36" i="18"/>
  <c r="D37" i="18"/>
  <c r="D38" i="18"/>
  <c r="D39" i="18"/>
  <c r="D40" i="18"/>
  <c r="D41" i="18"/>
  <c r="D42" i="18"/>
  <c r="D43" i="18"/>
  <c r="D44" i="18"/>
  <c r="D45" i="18"/>
  <c r="D46" i="18"/>
  <c r="D47" i="18"/>
  <c r="D48" i="18"/>
  <c r="D49" i="18"/>
  <c r="D50" i="18"/>
  <c r="D51" i="18"/>
  <c r="D52" i="18"/>
  <c r="D53" i="18"/>
  <c r="D54" i="18"/>
  <c r="F15" i="18"/>
  <c r="H19" i="14"/>
  <c r="F19" i="14" s="1"/>
  <c r="C20" i="18"/>
  <c r="F20" i="18" s="1"/>
  <c r="F16" i="18"/>
  <c r="H20" i="18"/>
  <c r="J20" i="16"/>
  <c r="F17" i="18"/>
  <c r="F18" i="18"/>
  <c r="D19" i="18"/>
  <c r="D20" i="18"/>
  <c r="E20" i="15"/>
  <c r="E20" i="16"/>
  <c r="I19" i="14"/>
  <c r="I20" i="14"/>
  <c r="I21" i="14"/>
  <c r="I18" i="14"/>
  <c r="U45" i="14"/>
  <c r="E19" i="15"/>
  <c r="E19" i="16"/>
  <c r="E18" i="15"/>
  <c r="E17" i="15"/>
  <c r="E16" i="15"/>
  <c r="E15" i="15"/>
  <c r="F14" i="15"/>
  <c r="E14" i="15"/>
  <c r="E18" i="16"/>
  <c r="E17" i="16"/>
  <c r="E16" i="16"/>
  <c r="E15" i="16"/>
  <c r="F14" i="16"/>
  <c r="E14" i="16"/>
  <c r="D18" i="18"/>
  <c r="D17" i="18"/>
  <c r="D16" i="18"/>
  <c r="D15" i="18"/>
  <c r="E14" i="18"/>
  <c r="D14" i="18"/>
  <c r="D14" i="6"/>
  <c r="E14" i="6"/>
  <c r="Q5" i="15"/>
  <c r="Q4" i="15"/>
  <c r="Q3" i="15"/>
  <c r="Q5" i="16"/>
  <c r="Q4" i="16"/>
  <c r="Q3" i="16"/>
  <c r="P5" i="18"/>
  <c r="P4" i="18"/>
  <c r="P3" i="18"/>
  <c r="P4" i="6"/>
  <c r="P3" i="6"/>
  <c r="P5" i="6"/>
  <c r="C10" i="18"/>
  <c r="B8" i="18"/>
  <c r="B7" i="18"/>
  <c r="P12" i="18" s="1"/>
  <c r="P13" i="18" s="1"/>
  <c r="D10" i="16"/>
  <c r="C8" i="16"/>
  <c r="C7" i="16"/>
  <c r="Q12" i="16" s="1"/>
  <c r="Q13" i="16" s="1"/>
  <c r="D10" i="15"/>
  <c r="C8" i="15"/>
  <c r="C7" i="15"/>
  <c r="Q12" i="15" s="1"/>
  <c r="Q13" i="15" s="1"/>
  <c r="B8" i="6"/>
  <c r="B7" i="6"/>
  <c r="P12" i="6" s="1"/>
  <c r="P13" i="6" s="1"/>
  <c r="D52" i="1"/>
  <c r="F52" i="1"/>
  <c r="C10" i="6"/>
  <c r="E52" i="1"/>
  <c r="E55" i="16" l="1"/>
  <c r="D55" i="18"/>
  <c r="F38" i="6"/>
  <c r="I38" i="6" s="1"/>
  <c r="D55" i="6"/>
  <c r="E15" i="6"/>
  <c r="E19" i="6"/>
  <c r="E16" i="6"/>
  <c r="G34" i="15"/>
  <c r="H34" i="15" s="1"/>
  <c r="G53" i="16"/>
  <c r="H53" i="16" s="1"/>
  <c r="F18" i="14"/>
  <c r="G44" i="16"/>
  <c r="H44" i="16" s="1"/>
  <c r="Q38" i="14"/>
  <c r="F60" i="14" s="1"/>
  <c r="H4" i="14"/>
  <c r="I48" i="15"/>
  <c r="G45" i="16"/>
  <c r="J45" i="16" s="1"/>
  <c r="G38" i="16"/>
  <c r="H38" i="16" s="1"/>
  <c r="I44" i="15"/>
  <c r="I15" i="18"/>
  <c r="G50" i="16"/>
  <c r="H50" i="16" s="1"/>
  <c r="H20" i="16"/>
  <c r="L20" i="16" s="1"/>
  <c r="N20" i="16" s="1"/>
  <c r="G29" i="16"/>
  <c r="H29" i="16" s="1"/>
  <c r="I52" i="15"/>
  <c r="G49" i="16"/>
  <c r="H49" i="16" s="1"/>
  <c r="H17" i="16"/>
  <c r="L17" i="16" s="1"/>
  <c r="N17" i="16" s="1"/>
  <c r="M46" i="16" s="1"/>
  <c r="G30" i="16"/>
  <c r="H30" i="16" s="1"/>
  <c r="G41" i="16"/>
  <c r="J41" i="16" s="1"/>
  <c r="H18" i="16"/>
  <c r="L18" i="16" s="1"/>
  <c r="N18" i="16" s="1"/>
  <c r="H16" i="16"/>
  <c r="L16" i="16" s="1"/>
  <c r="N16" i="16" s="1"/>
  <c r="I47" i="16"/>
  <c r="G36" i="16"/>
  <c r="J36" i="16" s="1"/>
  <c r="G35" i="15"/>
  <c r="J35" i="15" s="1"/>
  <c r="I50" i="15"/>
  <c r="H17" i="15"/>
  <c r="L17" i="15" s="1"/>
  <c r="N17" i="15" s="1"/>
  <c r="I54" i="15"/>
  <c r="I42" i="15"/>
  <c r="H16" i="15"/>
  <c r="L16" i="15" s="1"/>
  <c r="N16" i="15" s="1"/>
  <c r="G35" i="16"/>
  <c r="H35" i="16" s="1"/>
  <c r="G45" i="15"/>
  <c r="H45" i="15" s="1"/>
  <c r="G40" i="15"/>
  <c r="J40" i="15" s="1"/>
  <c r="E20" i="6"/>
  <c r="G29" i="15"/>
  <c r="H29" i="15" s="1"/>
  <c r="G52" i="15"/>
  <c r="G48" i="15"/>
  <c r="G33" i="15"/>
  <c r="J33" i="15" s="1"/>
  <c r="H15" i="15"/>
  <c r="L15" i="15" s="1"/>
  <c r="N15" i="15" s="1"/>
  <c r="M32" i="15" s="1"/>
  <c r="I16" i="18"/>
  <c r="G43" i="15"/>
  <c r="J43" i="15" s="1"/>
  <c r="G38" i="15"/>
  <c r="H38" i="15" s="1"/>
  <c r="I49" i="16"/>
  <c r="G37" i="16"/>
  <c r="H37" i="16" s="1"/>
  <c r="I47" i="15"/>
  <c r="G47" i="15"/>
  <c r="H47" i="15" s="1"/>
  <c r="I43" i="15"/>
  <c r="G36" i="15"/>
  <c r="H36" i="15" s="1"/>
  <c r="H18" i="15"/>
  <c r="L18" i="15" s="1"/>
  <c r="N18" i="15" s="1"/>
  <c r="M51" i="15" s="1"/>
  <c r="H20" i="15"/>
  <c r="L20" i="15" s="1"/>
  <c r="M20" i="15" s="1"/>
  <c r="I37" i="16"/>
  <c r="G54" i="15"/>
  <c r="G50" i="15"/>
  <c r="I46" i="15"/>
  <c r="G42" i="15"/>
  <c r="J42" i="15" s="1"/>
  <c r="F36" i="18"/>
  <c r="I36" i="18" s="1"/>
  <c r="I18" i="18"/>
  <c r="F51" i="6"/>
  <c r="G51" i="6" s="1"/>
  <c r="I19" i="18"/>
  <c r="F41" i="18"/>
  <c r="G41" i="18" s="1"/>
  <c r="F33" i="6"/>
  <c r="G33" i="6" s="1"/>
  <c r="F30" i="18"/>
  <c r="G30" i="18" s="1"/>
  <c r="F47" i="6"/>
  <c r="G47" i="6" s="1"/>
  <c r="F36" i="6"/>
  <c r="G36" i="6" s="1"/>
  <c r="F45" i="18"/>
  <c r="I45" i="18" s="1"/>
  <c r="F31" i="18"/>
  <c r="G31" i="18" s="1"/>
  <c r="F48" i="18"/>
  <c r="G48" i="18" s="1"/>
  <c r="F45" i="6"/>
  <c r="G45" i="6" s="1"/>
  <c r="F51" i="18"/>
  <c r="H48" i="18"/>
  <c r="H52" i="18"/>
  <c r="H42" i="18"/>
  <c r="H43" i="18"/>
  <c r="F32" i="18"/>
  <c r="G32" i="18" s="1"/>
  <c r="F53" i="6"/>
  <c r="F48" i="6"/>
  <c r="G48" i="6" s="1"/>
  <c r="G17" i="6"/>
  <c r="K17" i="6" s="1"/>
  <c r="M17" i="6" s="1"/>
  <c r="F40" i="6"/>
  <c r="G40" i="6" s="1"/>
  <c r="G20" i="18"/>
  <c r="K20" i="18" s="1"/>
  <c r="L20" i="18" s="1"/>
  <c r="F44" i="6"/>
  <c r="G44" i="6" s="1"/>
  <c r="F35" i="6"/>
  <c r="G35" i="6" s="1"/>
  <c r="F29" i="18"/>
  <c r="G29" i="18" s="1"/>
  <c r="F54" i="18"/>
  <c r="G54" i="18" s="1"/>
  <c r="F47" i="18"/>
  <c r="G47" i="18" s="1"/>
  <c r="G16" i="18"/>
  <c r="K16" i="18" s="1"/>
  <c r="L16" i="18" s="1"/>
  <c r="F50" i="6"/>
  <c r="G50" i="6" s="1"/>
  <c r="F46" i="6"/>
  <c r="G46" i="6" s="1"/>
  <c r="F42" i="6"/>
  <c r="G42" i="6" s="1"/>
  <c r="F31" i="6"/>
  <c r="G31" i="6" s="1"/>
  <c r="F50" i="18"/>
  <c r="G50" i="18" s="1"/>
  <c r="F43" i="18"/>
  <c r="I43" i="18" s="1"/>
  <c r="F52" i="6"/>
  <c r="G52" i="6" s="1"/>
  <c r="F37" i="6"/>
  <c r="G37" i="6" s="1"/>
  <c r="F53" i="18"/>
  <c r="F39" i="18"/>
  <c r="G18" i="18"/>
  <c r="K18" i="18" s="1"/>
  <c r="L18" i="18" s="1"/>
  <c r="G18" i="6"/>
  <c r="K18" i="6" s="1"/>
  <c r="F43" i="6"/>
  <c r="F34" i="6"/>
  <c r="G34" i="6" s="1"/>
  <c r="F39" i="6"/>
  <c r="G39" i="6" s="1"/>
  <c r="F49" i="18"/>
  <c r="F46" i="18"/>
  <c r="G46" i="18" s="1"/>
  <c r="F42" i="18"/>
  <c r="G17" i="18"/>
  <c r="K17" i="18" s="1"/>
  <c r="L17" i="18" s="1"/>
  <c r="G15" i="18"/>
  <c r="K15" i="18" s="1"/>
  <c r="M15" i="18" s="1"/>
  <c r="F54" i="6"/>
  <c r="G54" i="6" s="1"/>
  <c r="F49" i="6"/>
  <c r="G49" i="6" s="1"/>
  <c r="F41" i="6"/>
  <c r="J41" i="6" s="1"/>
  <c r="F52" i="18"/>
  <c r="G52" i="18" s="1"/>
  <c r="H54" i="18"/>
  <c r="H44" i="18"/>
  <c r="H50" i="18"/>
  <c r="H47" i="18"/>
  <c r="H33" i="18"/>
  <c r="F35" i="18"/>
  <c r="F44" i="18"/>
  <c r="F38" i="18"/>
  <c r="F34" i="18"/>
  <c r="F37" i="18"/>
  <c r="F33" i="18"/>
  <c r="G19" i="18"/>
  <c r="K19" i="18" s="1"/>
  <c r="P6" i="6"/>
  <c r="F40" i="18"/>
  <c r="Q35" i="14"/>
  <c r="G38" i="6"/>
  <c r="I51" i="16"/>
  <c r="I31" i="15"/>
  <c r="H40" i="18"/>
  <c r="H38" i="18"/>
  <c r="H36" i="18"/>
  <c r="H34" i="18"/>
  <c r="I53" i="16"/>
  <c r="G48" i="16"/>
  <c r="G46" i="16"/>
  <c r="G39" i="16"/>
  <c r="I35" i="16"/>
  <c r="G32" i="16"/>
  <c r="G46" i="15"/>
  <c r="G44" i="15"/>
  <c r="I40" i="15"/>
  <c r="I38" i="15"/>
  <c r="I36" i="15"/>
  <c r="I34" i="15"/>
  <c r="I32" i="15"/>
  <c r="I17" i="18"/>
  <c r="F29" i="6"/>
  <c r="G29" i="6" s="1"/>
  <c r="G16" i="6"/>
  <c r="K16" i="6" s="1"/>
  <c r="H53" i="18"/>
  <c r="H51" i="18"/>
  <c r="H49" i="18"/>
  <c r="G52" i="16"/>
  <c r="G43" i="16"/>
  <c r="I39" i="16"/>
  <c r="G34" i="16"/>
  <c r="G31" i="16"/>
  <c r="H31" i="16" s="1"/>
  <c r="G30" i="15"/>
  <c r="H30" i="15" s="1"/>
  <c r="I53" i="15"/>
  <c r="I51" i="15"/>
  <c r="I49" i="15"/>
  <c r="G32" i="15"/>
  <c r="P6" i="18"/>
  <c r="F30" i="6"/>
  <c r="G30" i="6" s="1"/>
  <c r="F32" i="6"/>
  <c r="G15" i="6"/>
  <c r="K15" i="6" s="1"/>
  <c r="M15" i="6" s="1"/>
  <c r="H45" i="18"/>
  <c r="H32" i="18"/>
  <c r="G54" i="16"/>
  <c r="G47" i="16"/>
  <c r="G53" i="15"/>
  <c r="G51" i="15"/>
  <c r="G49" i="15"/>
  <c r="I45" i="15"/>
  <c r="Q6" i="16"/>
  <c r="H39" i="18"/>
  <c r="H37" i="18"/>
  <c r="H35" i="18"/>
  <c r="H15" i="16"/>
  <c r="L15" i="16" s="1"/>
  <c r="N15" i="16" s="1"/>
  <c r="M32" i="16" s="1"/>
  <c r="I39" i="15"/>
  <c r="I37" i="15"/>
  <c r="I35" i="15"/>
  <c r="I33" i="15"/>
  <c r="G31" i="15"/>
  <c r="H31" i="15" s="1"/>
  <c r="Q6" i="15"/>
  <c r="G51" i="16"/>
  <c r="G42" i="16"/>
  <c r="G40" i="16"/>
  <c r="G33" i="16"/>
  <c r="G41" i="15"/>
  <c r="G39" i="15"/>
  <c r="G37" i="15"/>
  <c r="I34" i="16"/>
  <c r="I45" i="16"/>
  <c r="I43" i="16"/>
  <c r="I33" i="16"/>
  <c r="H20" i="6"/>
  <c r="I54" i="16"/>
  <c r="I52" i="16"/>
  <c r="I50" i="16"/>
  <c r="I48" i="16"/>
  <c r="I44" i="16"/>
  <c r="I42" i="16"/>
  <c r="I40" i="16"/>
  <c r="I38" i="16"/>
  <c r="I36" i="16"/>
  <c r="I29" i="15"/>
  <c r="H29" i="18"/>
  <c r="H30" i="18"/>
  <c r="H31" i="18"/>
  <c r="I20" i="6"/>
  <c r="J20" i="6"/>
  <c r="C20" i="6"/>
  <c r="F20" i="6" s="1"/>
  <c r="G20" i="6" s="1"/>
  <c r="I30" i="15"/>
  <c r="J30" i="15" s="1"/>
  <c r="J31" i="15"/>
  <c r="F19" i="6"/>
  <c r="G19" i="6" s="1"/>
  <c r="K19" i="6" s="1"/>
  <c r="M19" i="6" s="1"/>
  <c r="G19" i="15"/>
  <c r="H19" i="15" s="1"/>
  <c r="L19" i="15" s="1"/>
  <c r="M19" i="15" s="1"/>
  <c r="I31" i="16"/>
  <c r="G19" i="16"/>
  <c r="H19" i="16" s="1"/>
  <c r="L19" i="16" s="1"/>
  <c r="I29" i="16"/>
  <c r="I30" i="16"/>
  <c r="J31" i="16"/>
  <c r="H29" i="6"/>
  <c r="I20" i="18" l="1"/>
  <c r="K53" i="16"/>
  <c r="P53" i="16" s="1"/>
  <c r="J53" i="16"/>
  <c r="J34" i="15"/>
  <c r="K34" i="15"/>
  <c r="L34" i="15" s="1"/>
  <c r="J45" i="15"/>
  <c r="K44" i="16"/>
  <c r="L44" i="16" s="1"/>
  <c r="K48" i="15"/>
  <c r="L48" i="15" s="1"/>
  <c r="J44" i="16"/>
  <c r="D60" i="14"/>
  <c r="G68" i="14" s="1"/>
  <c r="G69" i="14" s="1"/>
  <c r="J36" i="15"/>
  <c r="H36" i="16"/>
  <c r="J49" i="16"/>
  <c r="K36" i="16"/>
  <c r="L36" i="16" s="1"/>
  <c r="K35" i="15"/>
  <c r="L35" i="15" s="1"/>
  <c r="H35" i="15"/>
  <c r="H45" i="16"/>
  <c r="K50" i="15"/>
  <c r="L50" i="15" s="1"/>
  <c r="J38" i="16"/>
  <c r="J50" i="16"/>
  <c r="K50" i="16"/>
  <c r="L50" i="16" s="1"/>
  <c r="K47" i="15"/>
  <c r="P47" i="15" s="1"/>
  <c r="I51" i="6"/>
  <c r="K41" i="16"/>
  <c r="L41" i="16" s="1"/>
  <c r="R49" i="16"/>
  <c r="S49" i="16" s="1"/>
  <c r="H30" i="6"/>
  <c r="Q29" i="6" s="1"/>
  <c r="R29" i="6" s="1"/>
  <c r="H54" i="6"/>
  <c r="Q54" i="6" s="1"/>
  <c r="R54" i="6" s="1"/>
  <c r="K37" i="16"/>
  <c r="L37" i="16" s="1"/>
  <c r="H36" i="6"/>
  <c r="H39" i="6"/>
  <c r="J39" i="6" s="1"/>
  <c r="K39" i="6" s="1"/>
  <c r="H43" i="6"/>
  <c r="J43" i="6" s="1"/>
  <c r="O43" i="6" s="1"/>
  <c r="H37" i="6"/>
  <c r="J37" i="6" s="1"/>
  <c r="O37" i="6" s="1"/>
  <c r="R54" i="15"/>
  <c r="S54" i="15" s="1"/>
  <c r="K48" i="16"/>
  <c r="L48" i="16" s="1"/>
  <c r="J37" i="16"/>
  <c r="H41" i="16"/>
  <c r="M17" i="16"/>
  <c r="J29" i="15"/>
  <c r="K47" i="16"/>
  <c r="L47" i="16" s="1"/>
  <c r="K33" i="16"/>
  <c r="L33" i="16" s="1"/>
  <c r="M54" i="16"/>
  <c r="M43" i="16"/>
  <c r="K20" i="6"/>
  <c r="M20" i="6" s="1"/>
  <c r="H53" i="6"/>
  <c r="J53" i="6" s="1"/>
  <c r="H47" i="6"/>
  <c r="Q46" i="6" s="1"/>
  <c r="R46" i="6" s="1"/>
  <c r="M17" i="15"/>
  <c r="K36" i="15"/>
  <c r="L36" i="15" s="1"/>
  <c r="H42" i="15"/>
  <c r="M16" i="15"/>
  <c r="M18" i="16"/>
  <c r="J54" i="15"/>
  <c r="H33" i="15"/>
  <c r="K54" i="15"/>
  <c r="L54" i="15" s="1"/>
  <c r="J35" i="16"/>
  <c r="H54" i="15"/>
  <c r="M20" i="16"/>
  <c r="J38" i="15"/>
  <c r="K42" i="15"/>
  <c r="R42" i="15"/>
  <c r="S42" i="15" s="1"/>
  <c r="H43" i="15"/>
  <c r="R50" i="16"/>
  <c r="S50" i="16" s="1"/>
  <c r="G36" i="18"/>
  <c r="M48" i="15"/>
  <c r="M18" i="15"/>
  <c r="K38" i="15"/>
  <c r="L38" i="15" s="1"/>
  <c r="K49" i="16"/>
  <c r="M44" i="16"/>
  <c r="M45" i="16"/>
  <c r="M41" i="16"/>
  <c r="R37" i="16"/>
  <c r="S37" i="16" s="1"/>
  <c r="R36" i="15"/>
  <c r="S36" i="15" s="1"/>
  <c r="M16" i="16"/>
  <c r="N20" i="15"/>
  <c r="R47" i="15"/>
  <c r="S47" i="15" s="1"/>
  <c r="M42" i="16"/>
  <c r="R38" i="15"/>
  <c r="S38" i="15" s="1"/>
  <c r="K35" i="16"/>
  <c r="L35" i="16" s="1"/>
  <c r="J51" i="6"/>
  <c r="K51" i="6" s="1"/>
  <c r="J50" i="15"/>
  <c r="H50" i="15"/>
  <c r="R34" i="15"/>
  <c r="S34" i="15" s="1"/>
  <c r="K43" i="15"/>
  <c r="P43" i="15" s="1"/>
  <c r="J47" i="15"/>
  <c r="R41" i="16"/>
  <c r="S41" i="16" s="1"/>
  <c r="H40" i="15"/>
  <c r="K40" i="15"/>
  <c r="L40" i="15" s="1"/>
  <c r="H48" i="15"/>
  <c r="J48" i="15"/>
  <c r="K52" i="15"/>
  <c r="L52" i="15" s="1"/>
  <c r="H52" i="15"/>
  <c r="J52" i="15"/>
  <c r="M15" i="15"/>
  <c r="M38" i="15"/>
  <c r="K54" i="16"/>
  <c r="L54" i="16" s="1"/>
  <c r="I48" i="6"/>
  <c r="I33" i="6"/>
  <c r="K46" i="16"/>
  <c r="L46" i="16" s="1"/>
  <c r="K40" i="16"/>
  <c r="L40" i="16" s="1"/>
  <c r="K43" i="16"/>
  <c r="L43" i="16" s="1"/>
  <c r="J51" i="18"/>
  <c r="K51" i="18" s="1"/>
  <c r="J41" i="18"/>
  <c r="O41" i="18" s="1"/>
  <c r="M50" i="15"/>
  <c r="K34" i="16"/>
  <c r="L34" i="16" s="1"/>
  <c r="K37" i="15"/>
  <c r="L37" i="15" s="1"/>
  <c r="J42" i="18"/>
  <c r="O42" i="18" s="1"/>
  <c r="M19" i="18"/>
  <c r="L29" i="18" s="1"/>
  <c r="Q41" i="18"/>
  <c r="R41" i="18" s="1"/>
  <c r="J49" i="18"/>
  <c r="O49" i="18" s="1"/>
  <c r="J53" i="18"/>
  <c r="O53" i="18" s="1"/>
  <c r="I39" i="6"/>
  <c r="G45" i="18"/>
  <c r="I52" i="18"/>
  <c r="I41" i="18"/>
  <c r="M49" i="15"/>
  <c r="M41" i="15"/>
  <c r="L18" i="6"/>
  <c r="M18" i="6"/>
  <c r="L51" i="6" s="1"/>
  <c r="I31" i="18"/>
  <c r="I31" i="6"/>
  <c r="M16" i="6"/>
  <c r="Q54" i="18"/>
  <c r="R54" i="18" s="1"/>
  <c r="G43" i="18"/>
  <c r="I36" i="6"/>
  <c r="J47" i="18"/>
  <c r="K47" i="18" s="1"/>
  <c r="M18" i="18"/>
  <c r="L51" i="18" s="1"/>
  <c r="M16" i="18"/>
  <c r="L41" i="18" s="1"/>
  <c r="J46" i="6"/>
  <c r="K46" i="6" s="1"/>
  <c r="I46" i="18"/>
  <c r="I50" i="6"/>
  <c r="I41" i="6"/>
  <c r="J45" i="18"/>
  <c r="O45" i="18" s="1"/>
  <c r="J39" i="18"/>
  <c r="K39" i="18" s="1"/>
  <c r="I47" i="6"/>
  <c r="I45" i="6"/>
  <c r="J50" i="18"/>
  <c r="K50" i="18" s="1"/>
  <c r="L17" i="6"/>
  <c r="L46" i="6"/>
  <c r="J37" i="18"/>
  <c r="O37" i="18" s="1"/>
  <c r="G41" i="6"/>
  <c r="I42" i="6"/>
  <c r="I46" i="6"/>
  <c r="I48" i="18"/>
  <c r="I44" i="6"/>
  <c r="J48" i="18"/>
  <c r="K48" i="18" s="1"/>
  <c r="I35" i="6"/>
  <c r="I37" i="6"/>
  <c r="G51" i="18"/>
  <c r="I51" i="18"/>
  <c r="I32" i="18"/>
  <c r="L19" i="18"/>
  <c r="M17" i="18"/>
  <c r="Q49" i="18"/>
  <c r="R49" i="18" s="1"/>
  <c r="Q48" i="18"/>
  <c r="R48" i="18" s="1"/>
  <c r="L15" i="18"/>
  <c r="K41" i="6"/>
  <c r="O41" i="6"/>
  <c r="I54" i="6"/>
  <c r="I47" i="18"/>
  <c r="J54" i="18"/>
  <c r="O54" i="18" s="1"/>
  <c r="G42" i="18"/>
  <c r="I42" i="18"/>
  <c r="G53" i="6"/>
  <c r="I53" i="6"/>
  <c r="Q42" i="18"/>
  <c r="R42" i="18" s="1"/>
  <c r="I40" i="6"/>
  <c r="I34" i="6"/>
  <c r="I54" i="18"/>
  <c r="I52" i="6"/>
  <c r="I39" i="18"/>
  <c r="G39" i="18"/>
  <c r="J52" i="18"/>
  <c r="G43" i="6"/>
  <c r="I43" i="6"/>
  <c r="M20" i="18"/>
  <c r="I49" i="6"/>
  <c r="I50" i="18"/>
  <c r="I49" i="18"/>
  <c r="G49" i="18"/>
  <c r="I53" i="18"/>
  <c r="G53" i="18"/>
  <c r="J46" i="18"/>
  <c r="J43" i="18"/>
  <c r="K43" i="18" s="1"/>
  <c r="Q43" i="18"/>
  <c r="R43" i="18" s="1"/>
  <c r="Q44" i="18"/>
  <c r="R44" i="18" s="1"/>
  <c r="Q47" i="18"/>
  <c r="R47" i="18" s="1"/>
  <c r="Q46" i="18"/>
  <c r="R46" i="18" s="1"/>
  <c r="Q31" i="18"/>
  <c r="R31" i="18" s="1"/>
  <c r="G38" i="18"/>
  <c r="I38" i="18"/>
  <c r="J33" i="18"/>
  <c r="I33" i="18"/>
  <c r="G33" i="18"/>
  <c r="I44" i="18"/>
  <c r="G44" i="18"/>
  <c r="J44" i="18"/>
  <c r="K44" i="18" s="1"/>
  <c r="G37" i="18"/>
  <c r="I37" i="18"/>
  <c r="G35" i="18"/>
  <c r="I35" i="18"/>
  <c r="J35" i="18"/>
  <c r="O35" i="18" s="1"/>
  <c r="G40" i="18"/>
  <c r="I40" i="18"/>
  <c r="G34" i="18"/>
  <c r="I34" i="18"/>
  <c r="Q29" i="18"/>
  <c r="R29" i="18" s="1"/>
  <c r="M39" i="15"/>
  <c r="M37" i="15"/>
  <c r="M36" i="15"/>
  <c r="M40" i="15"/>
  <c r="M33" i="15"/>
  <c r="M35" i="15"/>
  <c r="M42" i="15"/>
  <c r="M34" i="15"/>
  <c r="M39" i="16"/>
  <c r="M35" i="16"/>
  <c r="M43" i="15"/>
  <c r="M45" i="15"/>
  <c r="K29" i="15"/>
  <c r="L29" i="15" s="1"/>
  <c r="M47" i="16"/>
  <c r="M44" i="15"/>
  <c r="M47" i="15"/>
  <c r="L32" i="18"/>
  <c r="M53" i="15"/>
  <c r="M54" i="15"/>
  <c r="M52" i="16"/>
  <c r="M46" i="15"/>
  <c r="M52" i="15"/>
  <c r="M51" i="16"/>
  <c r="M53" i="16"/>
  <c r="N53" i="16" s="1"/>
  <c r="R41" i="15"/>
  <c r="S41" i="15" s="1"/>
  <c r="J41" i="15"/>
  <c r="K41" i="15"/>
  <c r="L41" i="15" s="1"/>
  <c r="H41" i="15"/>
  <c r="H44" i="15"/>
  <c r="J44" i="15"/>
  <c r="K44" i="15"/>
  <c r="L44" i="15" s="1"/>
  <c r="R44" i="15"/>
  <c r="S44" i="15" s="1"/>
  <c r="J34" i="18"/>
  <c r="Q34" i="18"/>
  <c r="R34" i="18" s="1"/>
  <c r="M40" i="16"/>
  <c r="M33" i="16"/>
  <c r="M48" i="16"/>
  <c r="K42" i="16"/>
  <c r="L42" i="16" s="1"/>
  <c r="J33" i="16"/>
  <c r="R33" i="16"/>
  <c r="S33" i="16" s="1"/>
  <c r="H33" i="16"/>
  <c r="H54" i="16"/>
  <c r="J54" i="16"/>
  <c r="R54" i="16"/>
  <c r="S54" i="16" s="1"/>
  <c r="H46" i="15"/>
  <c r="K46" i="15"/>
  <c r="P46" i="15" s="1"/>
  <c r="J46" i="15"/>
  <c r="R46" i="15"/>
  <c r="S46" i="15" s="1"/>
  <c r="J36" i="18"/>
  <c r="Q36" i="18"/>
  <c r="R36" i="18" s="1"/>
  <c r="Q50" i="18"/>
  <c r="R50" i="18" s="1"/>
  <c r="Q33" i="18"/>
  <c r="R33" i="18" s="1"/>
  <c r="Q35" i="18"/>
  <c r="R35" i="18" s="1"/>
  <c r="R53" i="16"/>
  <c r="S53" i="16" s="1"/>
  <c r="R40" i="15"/>
  <c r="S40" i="15" s="1"/>
  <c r="R35" i="16"/>
  <c r="S35" i="16" s="1"/>
  <c r="K31" i="15"/>
  <c r="P31" i="15" s="1"/>
  <c r="M50" i="16"/>
  <c r="J42" i="16"/>
  <c r="R42" i="16"/>
  <c r="S42" i="16" s="1"/>
  <c r="H42" i="16"/>
  <c r="R33" i="15"/>
  <c r="S33" i="15" s="1"/>
  <c r="K33" i="15"/>
  <c r="J32" i="15"/>
  <c r="R32" i="15"/>
  <c r="S32" i="15" s="1"/>
  <c r="H32" i="15"/>
  <c r="K39" i="16"/>
  <c r="L39" i="16" s="1"/>
  <c r="K32" i="15"/>
  <c r="L32" i="15" s="1"/>
  <c r="J40" i="18"/>
  <c r="Q40" i="18"/>
  <c r="R40" i="18" s="1"/>
  <c r="Q53" i="18"/>
  <c r="R53" i="18" s="1"/>
  <c r="R36" i="16"/>
  <c r="S36" i="16" s="1"/>
  <c r="R51" i="16"/>
  <c r="S51" i="16" s="1"/>
  <c r="H51" i="16"/>
  <c r="J51" i="16"/>
  <c r="R45" i="15"/>
  <c r="S45" i="15" s="1"/>
  <c r="K45" i="15"/>
  <c r="L15" i="6"/>
  <c r="R43" i="16"/>
  <c r="S43" i="16" s="1"/>
  <c r="H43" i="16"/>
  <c r="J43" i="16"/>
  <c r="R39" i="16"/>
  <c r="S39" i="16" s="1"/>
  <c r="H39" i="16"/>
  <c r="J39" i="16"/>
  <c r="M36" i="16"/>
  <c r="Q45" i="18"/>
  <c r="R45" i="18" s="1"/>
  <c r="R43" i="15"/>
  <c r="S43" i="15" s="1"/>
  <c r="H47" i="16"/>
  <c r="J47" i="16"/>
  <c r="R47" i="16"/>
  <c r="S47" i="16" s="1"/>
  <c r="J32" i="18"/>
  <c r="Q32" i="18"/>
  <c r="R32" i="18" s="1"/>
  <c r="M34" i="16"/>
  <c r="M37" i="16"/>
  <c r="N19" i="15"/>
  <c r="M31" i="15" s="1"/>
  <c r="M38" i="16"/>
  <c r="M49" i="16"/>
  <c r="K45" i="16"/>
  <c r="R45" i="16"/>
  <c r="S45" i="16" s="1"/>
  <c r="R49" i="15"/>
  <c r="S49" i="15" s="1"/>
  <c r="R48" i="15"/>
  <c r="S48" i="15" s="1"/>
  <c r="J49" i="15"/>
  <c r="H49" i="15"/>
  <c r="J32" i="6"/>
  <c r="K32" i="6" s="1"/>
  <c r="G32" i="6"/>
  <c r="I32" i="6"/>
  <c r="K49" i="15"/>
  <c r="L49" i="15" s="1"/>
  <c r="R52" i="16"/>
  <c r="S52" i="16" s="1"/>
  <c r="J52" i="16"/>
  <c r="H52" i="16"/>
  <c r="H46" i="16"/>
  <c r="R46" i="16"/>
  <c r="S46" i="16" s="1"/>
  <c r="J46" i="16"/>
  <c r="Q51" i="18"/>
  <c r="R51" i="18" s="1"/>
  <c r="R44" i="16"/>
  <c r="S44" i="16" s="1"/>
  <c r="H40" i="16"/>
  <c r="R40" i="16"/>
  <c r="S40" i="16" s="1"/>
  <c r="J40" i="16"/>
  <c r="R34" i="16"/>
  <c r="S34" i="16" s="1"/>
  <c r="J34" i="16"/>
  <c r="H34" i="16"/>
  <c r="R32" i="16"/>
  <c r="S32" i="16" s="1"/>
  <c r="H32" i="16"/>
  <c r="J32" i="16"/>
  <c r="K32" i="16"/>
  <c r="L32" i="16" s="1"/>
  <c r="J38" i="18"/>
  <c r="Q38" i="18"/>
  <c r="R38" i="18" s="1"/>
  <c r="J31" i="18"/>
  <c r="O31" i="18" s="1"/>
  <c r="R31" i="15"/>
  <c r="S31" i="15" s="1"/>
  <c r="K52" i="16"/>
  <c r="L52" i="16" s="1"/>
  <c r="H37" i="15"/>
  <c r="R37" i="15"/>
  <c r="S37" i="15" s="1"/>
  <c r="J37" i="15"/>
  <c r="L16" i="6"/>
  <c r="K39" i="15"/>
  <c r="L39" i="15" s="1"/>
  <c r="R51" i="15"/>
  <c r="S51" i="15" s="1"/>
  <c r="J51" i="15"/>
  <c r="R50" i="15"/>
  <c r="S50" i="15" s="1"/>
  <c r="H51" i="15"/>
  <c r="K51" i="15"/>
  <c r="P51" i="15" s="1"/>
  <c r="J48" i="16"/>
  <c r="R48" i="16"/>
  <c r="S48" i="16" s="1"/>
  <c r="H48" i="16"/>
  <c r="Q39" i="18"/>
  <c r="R39" i="18" s="1"/>
  <c r="Q37" i="18"/>
  <c r="R37" i="18" s="1"/>
  <c r="K38" i="16"/>
  <c r="R38" i="16"/>
  <c r="S38" i="16" s="1"/>
  <c r="H39" i="15"/>
  <c r="J39" i="15"/>
  <c r="R39" i="15"/>
  <c r="S39" i="15" s="1"/>
  <c r="M15" i="16"/>
  <c r="R53" i="15"/>
  <c r="S53" i="15" s="1"/>
  <c r="H53" i="15"/>
  <c r="J53" i="15"/>
  <c r="R52" i="15"/>
  <c r="S52" i="15" s="1"/>
  <c r="K53" i="15"/>
  <c r="L53" i="15" s="1"/>
  <c r="L53" i="16"/>
  <c r="K51" i="16"/>
  <c r="L51" i="16" s="1"/>
  <c r="Q52" i="18"/>
  <c r="R52" i="18" s="1"/>
  <c r="R35" i="15"/>
  <c r="S35" i="15" s="1"/>
  <c r="R30" i="15"/>
  <c r="S30" i="15" s="1"/>
  <c r="I30" i="18"/>
  <c r="J30" i="18"/>
  <c r="Q30" i="18"/>
  <c r="R30" i="18" s="1"/>
  <c r="I29" i="18"/>
  <c r="J29" i="18"/>
  <c r="H48" i="6"/>
  <c r="J48" i="6" s="1"/>
  <c r="O48" i="6" s="1"/>
  <c r="H45" i="6"/>
  <c r="H31" i="6"/>
  <c r="J31" i="6" s="1"/>
  <c r="O31" i="6" s="1"/>
  <c r="H44" i="6"/>
  <c r="J44" i="6" s="1"/>
  <c r="O44" i="6" s="1"/>
  <c r="H34" i="6"/>
  <c r="J34" i="6" s="1"/>
  <c r="O34" i="6" s="1"/>
  <c r="H35" i="6"/>
  <c r="J35" i="6" s="1"/>
  <c r="H50" i="6"/>
  <c r="Q50" i="6" s="1"/>
  <c r="R50" i="6" s="1"/>
  <c r="H40" i="6"/>
  <c r="Q40" i="6" s="1"/>
  <c r="R40" i="6" s="1"/>
  <c r="D20" i="6"/>
  <c r="H38" i="6"/>
  <c r="J38" i="6" s="1"/>
  <c r="H52" i="6"/>
  <c r="J52" i="6" s="1"/>
  <c r="H42" i="6"/>
  <c r="Q41" i="6" s="1"/>
  <c r="R41" i="6" s="1"/>
  <c r="H33" i="6"/>
  <c r="H49" i="6"/>
  <c r="L29" i="6"/>
  <c r="R29" i="15"/>
  <c r="S29" i="15" s="1"/>
  <c r="K30" i="15"/>
  <c r="L30" i="15" s="1"/>
  <c r="L19" i="6"/>
  <c r="J30" i="16"/>
  <c r="K30" i="16"/>
  <c r="R30" i="16"/>
  <c r="S30" i="16" s="1"/>
  <c r="J29" i="16"/>
  <c r="K29" i="16"/>
  <c r="R29" i="16"/>
  <c r="S29" i="16" s="1"/>
  <c r="N19" i="16"/>
  <c r="M19" i="16"/>
  <c r="K31" i="16"/>
  <c r="R31" i="16"/>
  <c r="S31" i="16" s="1"/>
  <c r="I29" i="6"/>
  <c r="J29" i="6"/>
  <c r="N34" i="15" l="1"/>
  <c r="P34" i="15"/>
  <c r="P44" i="16"/>
  <c r="N44" i="16"/>
  <c r="P50" i="16"/>
  <c r="P48" i="15"/>
  <c r="Q48" i="15"/>
  <c r="J47" i="6"/>
  <c r="O47" i="6" s="1"/>
  <c r="P40" i="16"/>
  <c r="Q40" i="16"/>
  <c r="Q54" i="15"/>
  <c r="P35" i="15"/>
  <c r="N35" i="15"/>
  <c r="P36" i="16"/>
  <c r="G70" i="14"/>
  <c r="D90" i="14" s="1"/>
  <c r="Q32" i="15"/>
  <c r="Q50" i="15"/>
  <c r="P50" i="15"/>
  <c r="L47" i="15"/>
  <c r="N47" i="15"/>
  <c r="Q48" i="16"/>
  <c r="P36" i="15"/>
  <c r="P41" i="16"/>
  <c r="N33" i="16"/>
  <c r="P33" i="16"/>
  <c r="Q41" i="16"/>
  <c r="J30" i="6"/>
  <c r="O30" i="6" s="1"/>
  <c r="J54" i="6"/>
  <c r="K54" i="6" s="1"/>
  <c r="P48" i="16"/>
  <c r="N50" i="15"/>
  <c r="N32" i="15"/>
  <c r="L43" i="6"/>
  <c r="P43" i="6" s="1"/>
  <c r="L20" i="6"/>
  <c r="N37" i="16"/>
  <c r="K45" i="18"/>
  <c r="Q44" i="16"/>
  <c r="P37" i="16"/>
  <c r="Q36" i="6"/>
  <c r="R36" i="6" s="1"/>
  <c r="I30" i="6"/>
  <c r="M51" i="6"/>
  <c r="N36" i="15"/>
  <c r="J36" i="6"/>
  <c r="K36" i="6" s="1"/>
  <c r="P54" i="15"/>
  <c r="Q53" i="6"/>
  <c r="R53" i="6" s="1"/>
  <c r="N41" i="16"/>
  <c r="Q52" i="15"/>
  <c r="N47" i="16"/>
  <c r="N54" i="16"/>
  <c r="N48" i="15"/>
  <c r="Q46" i="16"/>
  <c r="P32" i="15"/>
  <c r="L43" i="15"/>
  <c r="Q45" i="16"/>
  <c r="O51" i="6"/>
  <c r="P47" i="16"/>
  <c r="P39" i="15"/>
  <c r="P40" i="15"/>
  <c r="N40" i="15"/>
  <c r="Q38" i="15"/>
  <c r="Q54" i="16"/>
  <c r="P38" i="15"/>
  <c r="Q42" i="15"/>
  <c r="K41" i="18"/>
  <c r="L31" i="18"/>
  <c r="P52" i="15"/>
  <c r="P43" i="16"/>
  <c r="P35" i="16"/>
  <c r="P49" i="16"/>
  <c r="L49" i="16"/>
  <c r="L42" i="15"/>
  <c r="P42" i="15"/>
  <c r="N43" i="15"/>
  <c r="N38" i="15"/>
  <c r="N34" i="16"/>
  <c r="N35" i="16"/>
  <c r="P34" i="16"/>
  <c r="N39" i="16"/>
  <c r="Q39" i="15"/>
  <c r="P39" i="16"/>
  <c r="Q38" i="16"/>
  <c r="P44" i="15"/>
  <c r="Q32" i="16"/>
  <c r="Q47" i="16"/>
  <c r="P54" i="16"/>
  <c r="M41" i="18"/>
  <c r="N32" i="16"/>
  <c r="Q52" i="16"/>
  <c r="N42" i="16"/>
  <c r="P42" i="16"/>
  <c r="Q42" i="16"/>
  <c r="O51" i="18"/>
  <c r="P51" i="16"/>
  <c r="P41" i="15"/>
  <c r="N53" i="15"/>
  <c r="N37" i="15"/>
  <c r="H55" i="15"/>
  <c r="N41" i="15"/>
  <c r="P32" i="16"/>
  <c r="K42" i="18"/>
  <c r="O47" i="18"/>
  <c r="N39" i="15"/>
  <c r="Q41" i="15"/>
  <c r="K37" i="6"/>
  <c r="P53" i="15"/>
  <c r="P46" i="16"/>
  <c r="N51" i="16"/>
  <c r="H55" i="16"/>
  <c r="N43" i="16"/>
  <c r="Q43" i="16"/>
  <c r="P37" i="15"/>
  <c r="N46" i="15"/>
  <c r="N46" i="16"/>
  <c r="K37" i="18"/>
  <c r="K53" i="18"/>
  <c r="L30" i="18"/>
  <c r="K49" i="18"/>
  <c r="O39" i="6"/>
  <c r="L40" i="18"/>
  <c r="M40" i="18" s="1"/>
  <c r="Q34" i="15"/>
  <c r="P29" i="15"/>
  <c r="Q29" i="15" s="1"/>
  <c r="L33" i="18"/>
  <c r="P33" i="18" s="1"/>
  <c r="L42" i="18"/>
  <c r="P42" i="18" s="1"/>
  <c r="L49" i="18"/>
  <c r="M49" i="18" s="1"/>
  <c r="L46" i="18"/>
  <c r="M46" i="18" s="1"/>
  <c r="O46" i="6"/>
  <c r="L34" i="18"/>
  <c r="M34" i="18" s="1"/>
  <c r="L44" i="6"/>
  <c r="M44" i="6" s="1"/>
  <c r="K43" i="6"/>
  <c r="L34" i="6"/>
  <c r="M34" i="6" s="1"/>
  <c r="L41" i="6"/>
  <c r="P41" i="18"/>
  <c r="L50" i="18"/>
  <c r="P50" i="18" s="1"/>
  <c r="O50" i="18"/>
  <c r="L52" i="18"/>
  <c r="P52" i="18" s="1"/>
  <c r="L54" i="18"/>
  <c r="P54" i="18" s="1"/>
  <c r="L53" i="18"/>
  <c r="M53" i="18" s="1"/>
  <c r="L47" i="18"/>
  <c r="M47" i="18" s="1"/>
  <c r="L48" i="18"/>
  <c r="M48" i="18" s="1"/>
  <c r="M46" i="6"/>
  <c r="K54" i="18"/>
  <c r="O39" i="18"/>
  <c r="P46" i="6"/>
  <c r="L44" i="18"/>
  <c r="P44" i="18" s="1"/>
  <c r="L39" i="18"/>
  <c r="P39" i="18" s="1"/>
  <c r="L54" i="6"/>
  <c r="L36" i="18"/>
  <c r="M36" i="18" s="1"/>
  <c r="L42" i="6"/>
  <c r="L43" i="18"/>
  <c r="M43" i="18" s="1"/>
  <c r="O48" i="18"/>
  <c r="L45" i="18"/>
  <c r="M45" i="18" s="1"/>
  <c r="L38" i="18"/>
  <c r="P38" i="18" s="1"/>
  <c r="L37" i="18"/>
  <c r="M37" i="18" s="1"/>
  <c r="L45" i="6"/>
  <c r="L35" i="18"/>
  <c r="M35" i="18" s="1"/>
  <c r="L47" i="6"/>
  <c r="O43" i="18"/>
  <c r="L53" i="6"/>
  <c r="M53" i="6" s="1"/>
  <c r="L52" i="6"/>
  <c r="M52" i="6" s="1"/>
  <c r="O46" i="18"/>
  <c r="K46" i="18"/>
  <c r="G55" i="18"/>
  <c r="L49" i="6"/>
  <c r="L50" i="6"/>
  <c r="L48" i="6"/>
  <c r="P48" i="6" s="1"/>
  <c r="G55" i="6"/>
  <c r="O52" i="18"/>
  <c r="K52" i="18"/>
  <c r="O44" i="18"/>
  <c r="Q35" i="6"/>
  <c r="R35" i="6" s="1"/>
  <c r="O33" i="18"/>
  <c r="K33" i="18"/>
  <c r="K35" i="18"/>
  <c r="Q36" i="15"/>
  <c r="Q40" i="15"/>
  <c r="Q37" i="15"/>
  <c r="Q35" i="15"/>
  <c r="Q43" i="15"/>
  <c r="N52" i="15"/>
  <c r="Q53" i="15"/>
  <c r="N42" i="15"/>
  <c r="N54" i="15"/>
  <c r="K31" i="18"/>
  <c r="Q39" i="16"/>
  <c r="Q37" i="16"/>
  <c r="Q53" i="16"/>
  <c r="Q35" i="16"/>
  <c r="Q47" i="15"/>
  <c r="Q33" i="16"/>
  <c r="N40" i="16"/>
  <c r="L31" i="15"/>
  <c r="N31" i="15" s="1"/>
  <c r="N38" i="16"/>
  <c r="Q34" i="16"/>
  <c r="P33" i="15"/>
  <c r="L33" i="15"/>
  <c r="K32" i="18"/>
  <c r="O32" i="18"/>
  <c r="M32" i="18"/>
  <c r="L51" i="15"/>
  <c r="N51" i="15"/>
  <c r="Q51" i="15"/>
  <c r="L32" i="6"/>
  <c r="P32" i="6" s="1"/>
  <c r="L35" i="6"/>
  <c r="P35" i="6" s="1"/>
  <c r="L33" i="6"/>
  <c r="L37" i="6"/>
  <c r="L36" i="6"/>
  <c r="L40" i="6"/>
  <c r="L38" i="6"/>
  <c r="M38" i="6" s="1"/>
  <c r="Q50" i="16"/>
  <c r="N50" i="16"/>
  <c r="K34" i="18"/>
  <c r="O34" i="18"/>
  <c r="P49" i="15"/>
  <c r="K44" i="6"/>
  <c r="N33" i="15"/>
  <c r="N44" i="15"/>
  <c r="Q51" i="16"/>
  <c r="Q33" i="15"/>
  <c r="Q44" i="15"/>
  <c r="J50" i="6"/>
  <c r="L30" i="6"/>
  <c r="N49" i="16"/>
  <c r="Q49" i="16"/>
  <c r="L45" i="15"/>
  <c r="P45" i="15"/>
  <c r="Q45" i="15"/>
  <c r="P51" i="18"/>
  <c r="M51" i="18"/>
  <c r="N45" i="15"/>
  <c r="K36" i="18"/>
  <c r="O36" i="18"/>
  <c r="N49" i="15"/>
  <c r="Q48" i="6"/>
  <c r="R48" i="6" s="1"/>
  <c r="Q44" i="6"/>
  <c r="R44" i="6" s="1"/>
  <c r="L38" i="16"/>
  <c r="P38" i="16"/>
  <c r="M29" i="15"/>
  <c r="N29" i="15" s="1"/>
  <c r="M30" i="15"/>
  <c r="N30" i="15" s="1"/>
  <c r="Q36" i="16"/>
  <c r="N36" i="16"/>
  <c r="O40" i="18"/>
  <c r="K40" i="18"/>
  <c r="L46" i="15"/>
  <c r="Q46" i="15"/>
  <c r="Q49" i="15"/>
  <c r="P51" i="6"/>
  <c r="P32" i="18"/>
  <c r="N52" i="16"/>
  <c r="N48" i="16"/>
  <c r="O38" i="18"/>
  <c r="K38" i="18"/>
  <c r="L39" i="6"/>
  <c r="P52" i="16"/>
  <c r="O32" i="6"/>
  <c r="P45" i="16"/>
  <c r="L45" i="16"/>
  <c r="N45" i="16"/>
  <c r="K30" i="18"/>
  <c r="O30" i="18"/>
  <c r="K29" i="18"/>
  <c r="M29" i="18" s="1"/>
  <c r="O29" i="18"/>
  <c r="K31" i="6"/>
  <c r="K48" i="6"/>
  <c r="O38" i="6"/>
  <c r="Q30" i="6"/>
  <c r="R30" i="6" s="1"/>
  <c r="L31" i="6"/>
  <c r="K34" i="6"/>
  <c r="K38" i="6"/>
  <c r="J45" i="6"/>
  <c r="O45" i="6" s="1"/>
  <c r="Q34" i="6"/>
  <c r="R34" i="6" s="1"/>
  <c r="Q43" i="6"/>
  <c r="R43" i="6" s="1"/>
  <c r="Q45" i="6"/>
  <c r="R45" i="6" s="1"/>
  <c r="Q47" i="6"/>
  <c r="R47" i="6" s="1"/>
  <c r="Q33" i="6"/>
  <c r="R33" i="6" s="1"/>
  <c r="Q31" i="6"/>
  <c r="R31" i="6" s="1"/>
  <c r="J49" i="6"/>
  <c r="K49" i="6" s="1"/>
  <c r="Q37" i="6"/>
  <c r="R37" i="6" s="1"/>
  <c r="J42" i="6"/>
  <c r="Q42" i="6"/>
  <c r="R42" i="6" s="1"/>
  <c r="Q32" i="6"/>
  <c r="R32" i="6" s="1"/>
  <c r="J33" i="6"/>
  <c r="O52" i="6"/>
  <c r="Q38" i="6"/>
  <c r="R38" i="6" s="1"/>
  <c r="Q52" i="6"/>
  <c r="R52" i="6" s="1"/>
  <c r="K52" i="6"/>
  <c r="Q51" i="6"/>
  <c r="R51" i="6" s="1"/>
  <c r="Q39" i="6"/>
  <c r="R39" i="6" s="1"/>
  <c r="J40" i="6"/>
  <c r="Q49" i="6"/>
  <c r="R49" i="6" s="1"/>
  <c r="K53" i="6"/>
  <c r="O53" i="6"/>
  <c r="K35" i="6"/>
  <c r="O35" i="6"/>
  <c r="P30" i="15"/>
  <c r="L31" i="16"/>
  <c r="P31" i="16"/>
  <c r="P29" i="16"/>
  <c r="L29" i="16"/>
  <c r="L30" i="16"/>
  <c r="P30" i="16"/>
  <c r="M31" i="16"/>
  <c r="M29" i="16"/>
  <c r="M30" i="16"/>
  <c r="K29" i="6"/>
  <c r="M29" i="6" s="1"/>
  <c r="O29" i="6"/>
  <c r="K47" i="6" l="1"/>
  <c r="M47" i="6"/>
  <c r="M43" i="6"/>
  <c r="D88" i="14"/>
  <c r="D94" i="14"/>
  <c r="D87" i="14"/>
  <c r="D91" i="14"/>
  <c r="D93" i="14"/>
  <c r="D95" i="14"/>
  <c r="D89" i="14"/>
  <c r="D96" i="14"/>
  <c r="D92" i="14"/>
  <c r="P54" i="6"/>
  <c r="O54" i="6"/>
  <c r="K30" i="6"/>
  <c r="P30" i="6" s="1"/>
  <c r="M31" i="18"/>
  <c r="O36" i="6"/>
  <c r="P34" i="18"/>
  <c r="P55" i="15"/>
  <c r="M30" i="18"/>
  <c r="M33" i="18"/>
  <c r="P40" i="18"/>
  <c r="P44" i="6"/>
  <c r="M42" i="18"/>
  <c r="Q30" i="15"/>
  <c r="P49" i="18"/>
  <c r="M50" i="18"/>
  <c r="P46" i="18"/>
  <c r="P34" i="6"/>
  <c r="M52" i="18"/>
  <c r="P53" i="6"/>
  <c r="M41" i="6"/>
  <c r="P41" i="6"/>
  <c r="M54" i="18"/>
  <c r="M42" i="6"/>
  <c r="M44" i="18"/>
  <c r="M38" i="18"/>
  <c r="P47" i="18"/>
  <c r="P48" i="18"/>
  <c r="P53" i="18"/>
  <c r="P52" i="6"/>
  <c r="M54" i="6"/>
  <c r="P45" i="18"/>
  <c r="P43" i="18"/>
  <c r="P35" i="18"/>
  <c r="P36" i="18"/>
  <c r="M39" i="18"/>
  <c r="P47" i="6"/>
  <c r="P37" i="18"/>
  <c r="M50" i="6"/>
  <c r="M31" i="6"/>
  <c r="M48" i="6"/>
  <c r="P29" i="18"/>
  <c r="M35" i="6"/>
  <c r="L55" i="15"/>
  <c r="Q31" i="15"/>
  <c r="P40" i="6"/>
  <c r="K55" i="18"/>
  <c r="P38" i="6"/>
  <c r="P33" i="6"/>
  <c r="M39" i="6"/>
  <c r="P39" i="6"/>
  <c r="P36" i="6"/>
  <c r="M36" i="6"/>
  <c r="N55" i="15"/>
  <c r="N56" i="15" s="1"/>
  <c r="N25" i="15" s="1"/>
  <c r="P50" i="6"/>
  <c r="K50" i="6"/>
  <c r="M37" i="6"/>
  <c r="P37" i="6"/>
  <c r="K45" i="6"/>
  <c r="O50" i="6"/>
  <c r="M32" i="6"/>
  <c r="N29" i="16"/>
  <c r="N30" i="16"/>
  <c r="O55" i="18"/>
  <c r="P31" i="18"/>
  <c r="P30" i="18"/>
  <c r="M45" i="6"/>
  <c r="P45" i="6"/>
  <c r="M49" i="6"/>
  <c r="P49" i="6"/>
  <c r="O49" i="6"/>
  <c r="K42" i="6"/>
  <c r="P42" i="6"/>
  <c r="O33" i="6"/>
  <c r="O42" i="6"/>
  <c r="K33" i="6"/>
  <c r="M33" i="6"/>
  <c r="O40" i="6"/>
  <c r="K40" i="6"/>
  <c r="M40" i="6"/>
  <c r="N31" i="16"/>
  <c r="L55" i="16"/>
  <c r="Q30" i="16"/>
  <c r="Q31" i="16"/>
  <c r="Q29" i="16"/>
  <c r="P55" i="16"/>
  <c r="P31" i="6"/>
  <c r="P29" i="6"/>
  <c r="M30" i="6" l="1"/>
  <c r="Q55" i="15"/>
  <c r="Q56" i="15" s="1"/>
  <c r="Q25" i="15" s="1"/>
  <c r="M55" i="18"/>
  <c r="M56" i="18" s="1"/>
  <c r="M25" i="18" s="1"/>
  <c r="P20" i="18" s="1"/>
  <c r="P19" i="18" s="1"/>
  <c r="Q20" i="15"/>
  <c r="Q19" i="15" s="1"/>
  <c r="Q7" i="15"/>
  <c r="Q9" i="15" s="1"/>
  <c r="Q15" i="15" s="1"/>
  <c r="Q17" i="15" s="1"/>
  <c r="N55" i="16"/>
  <c r="N56" i="16" s="1"/>
  <c r="N25" i="16" s="1"/>
  <c r="P55" i="18"/>
  <c r="P56" i="18" s="1"/>
  <c r="P25" i="18" s="1"/>
  <c r="Q55" i="16"/>
  <c r="Q56" i="16" s="1"/>
  <c r="Q25" i="16" s="1"/>
  <c r="O55" i="6"/>
  <c r="K55" i="6"/>
  <c r="M55" i="6"/>
  <c r="M56" i="6" s="1"/>
  <c r="M25" i="6" s="1"/>
  <c r="P7" i="6" s="1"/>
  <c r="P9" i="6" s="1"/>
  <c r="P55" i="6"/>
  <c r="P15" i="6" l="1"/>
  <c r="H60" i="14"/>
  <c r="H58" i="14"/>
  <c r="P7" i="18"/>
  <c r="P9" i="18" s="1"/>
  <c r="Q20" i="16"/>
  <c r="Q19" i="16" s="1"/>
  <c r="Q7" i="16"/>
  <c r="Q9" i="16" s="1"/>
  <c r="P56" i="6"/>
  <c r="P25" i="6" s="1"/>
  <c r="E57" i="14"/>
  <c r="P20" i="6"/>
  <c r="P19" i="6" s="1"/>
  <c r="P15" i="18" l="1"/>
  <c r="E58" i="14"/>
  <c r="D57" i="14"/>
  <c r="P17" i="6"/>
  <c r="F57" i="14" s="1"/>
  <c r="H57" i="14"/>
  <c r="H59" i="14"/>
  <c r="D58" i="14"/>
  <c r="G66" i="14" s="1"/>
  <c r="Q15" i="16"/>
  <c r="E59" i="14"/>
  <c r="G65" i="14" l="1"/>
  <c r="D64" i="14" s="1"/>
  <c r="P17" i="18"/>
  <c r="F58" i="14"/>
  <c r="Q17" i="16"/>
  <c r="D59" i="14"/>
  <c r="G67" i="14" s="1"/>
  <c r="D72" i="14"/>
  <c r="D75" i="14"/>
  <c r="D73" i="14"/>
  <c r="D74" i="14"/>
  <c r="D69" i="14"/>
  <c r="D67" i="14"/>
  <c r="D76" i="14"/>
  <c r="D71" i="14"/>
  <c r="D68" i="14"/>
  <c r="D70" i="14"/>
  <c r="D66" i="14" l="1"/>
  <c r="B62" i="14"/>
  <c r="F59" i="14"/>
  <c r="D80" i="14"/>
  <c r="D84" i="14"/>
  <c r="D83" i="14"/>
  <c r="D81" i="14"/>
  <c r="D82" i="14"/>
  <c r="D79" i="14"/>
  <c r="D86" i="14"/>
  <c r="D85" i="14"/>
  <c r="D78" i="14"/>
  <c r="D77" i="14"/>
</calcChain>
</file>

<file path=xl/sharedStrings.xml><?xml version="1.0" encoding="utf-8"?>
<sst xmlns="http://schemas.openxmlformats.org/spreadsheetml/2006/main" count="574" uniqueCount="213">
  <si>
    <t>j</t>
  </si>
  <si>
    <t>Tj</t>
  </si>
  <si>
    <r>
      <rPr>
        <sz val="11"/>
        <color theme="1"/>
        <rFont val="Calibri"/>
        <family val="2"/>
      </rPr>
      <t>°</t>
    </r>
    <r>
      <rPr>
        <sz val="9.9"/>
        <color theme="1"/>
        <rFont val="Calibri"/>
        <family val="2"/>
      </rPr>
      <t>C</t>
    </r>
  </si>
  <si>
    <t>hjW</t>
  </si>
  <si>
    <t>h</t>
  </si>
  <si>
    <t>hjA</t>
  </si>
  <si>
    <t>hjC</t>
  </si>
  <si>
    <t>Total</t>
  </si>
  <si>
    <t>Table 37 - j,Tj&amp; hj reference heating seasons</t>
  </si>
  <si>
    <t>Average</t>
  </si>
  <si>
    <t>Colder</t>
  </si>
  <si>
    <t>Warmer</t>
  </si>
  <si>
    <t>Low</t>
  </si>
  <si>
    <t>Medium</t>
  </si>
  <si>
    <t>High</t>
  </si>
  <si>
    <t>A</t>
  </si>
  <si>
    <t>B</t>
  </si>
  <si>
    <t>C</t>
  </si>
  <si>
    <t>D</t>
  </si>
  <si>
    <t>Tdesignh</t>
  </si>
  <si>
    <t>kW</t>
  </si>
  <si>
    <t>kWh</t>
  </si>
  <si>
    <t>Part Load Ratio</t>
  </si>
  <si>
    <t xml:space="preserve">Climate </t>
  </si>
  <si>
    <t>Property Full load (Pdesignh)</t>
  </si>
  <si>
    <t>Indoor Heat exchanger</t>
  </si>
  <si>
    <t>Condition</t>
  </si>
  <si>
    <t>%</t>
  </si>
  <si>
    <t>Part Load</t>
  </si>
  <si>
    <t>Declared Capacity</t>
  </si>
  <si>
    <t>COP at Declared Capacity</t>
  </si>
  <si>
    <t>COP at Part Load</t>
  </si>
  <si>
    <t>Bin</t>
  </si>
  <si>
    <t>Outdoor temperature (dry bulb)</t>
  </si>
  <si>
    <t>Hours</t>
  </si>
  <si>
    <t>Heat Load covered by HP</t>
  </si>
  <si>
    <t>Degradation Factor</t>
  </si>
  <si>
    <t>Heat Pump Capacity</t>
  </si>
  <si>
    <t>Electric back up heater</t>
  </si>
  <si>
    <t>Annual Heating Demand</t>
  </si>
  <si>
    <t>Annual Energy Input from Backup heater</t>
  </si>
  <si>
    <t>Annual Energy Input including electric backup heater</t>
  </si>
  <si>
    <t>Net Annual heating capacity</t>
  </si>
  <si>
    <t>hj x {Ph(Tj) - elbu(Tj)}</t>
  </si>
  <si>
    <t>Net Annual power input</t>
  </si>
  <si>
    <t>Very High</t>
  </si>
  <si>
    <t>Degradation coefficient Cc</t>
  </si>
  <si>
    <t>Average Climate</t>
  </si>
  <si>
    <t>SCOP</t>
  </si>
  <si>
    <t>Average Climate (h/y)</t>
  </si>
  <si>
    <t>On mode</t>
  </si>
  <si>
    <t>Seasonal Space Heating Energy Efficiency</t>
  </si>
  <si>
    <t xml:space="preserve">Conversion Coefficient </t>
  </si>
  <si>
    <t>Seasonal Space Heating Energy Efficiency class</t>
  </si>
  <si>
    <t>Correction Factor F(1)</t>
  </si>
  <si>
    <t>Ground Source</t>
  </si>
  <si>
    <t>Variable Outlet</t>
  </si>
  <si>
    <t>Variable Outlet Flow Temperatures</t>
  </si>
  <si>
    <t>Yes</t>
  </si>
  <si>
    <t>No</t>
  </si>
  <si>
    <t>Classification under ErP</t>
  </si>
  <si>
    <t>Classification under MCS</t>
  </si>
  <si>
    <t>Test Conditions EN 14825:2013</t>
  </si>
  <si>
    <t>Heating Capacity (kW)</t>
  </si>
  <si>
    <t>Coefficient of Performance (kW/kW)</t>
  </si>
  <si>
    <t>Product Performance Data</t>
  </si>
  <si>
    <t>Performance data always required</t>
  </si>
  <si>
    <t>A (88%)</t>
  </si>
  <si>
    <t>B (54%)</t>
  </si>
  <si>
    <t>C (35%)</t>
  </si>
  <si>
    <t>D (15%)</t>
  </si>
  <si>
    <t>E* (100%)</t>
  </si>
  <si>
    <t>If the degradation coefficient is not specified, leave blank</t>
  </si>
  <si>
    <t>Cc</t>
  </si>
  <si>
    <t>CR</t>
  </si>
  <si>
    <t>Summary</t>
  </si>
  <si>
    <t xml:space="preserve">*If the declared Temperature Operation Limit (TOL) of the heat pump is lower than Tdesignh, then it may be assumed that TOL is equal to Tdesignh </t>
  </si>
  <si>
    <t>Temperature Operation Limit (TOL)</t>
  </si>
  <si>
    <t>Seasonal Coefficient of Performance</t>
  </si>
  <si>
    <t>CLASS</t>
  </si>
  <si>
    <t>Correction Factor F(2)</t>
  </si>
  <si>
    <t>Changes</t>
  </si>
  <si>
    <t>#01 original</t>
  </si>
  <si>
    <t>#03 changes made from feedback received from JBB on 16/1/15</t>
  </si>
  <si>
    <t>#02 changes made from feedback received from JBB on 19/12/14</t>
  </si>
  <si>
    <t>#04 addition of 45oC, calculated based on the way SAP deals with 45oC if product performance information is not available, otherwise manufacturers test data</t>
  </si>
  <si>
    <t>#05 MCS logo added, % difference removed from declared kW at 45</t>
  </si>
  <si>
    <t>Medium (45°C)</t>
  </si>
  <si>
    <t>High (55°C)</t>
  </si>
  <si>
    <t>Very High (65°C)</t>
  </si>
  <si>
    <t>Application temperature</t>
  </si>
  <si>
    <t>#06 Added graph of the SCOP figures to allow reading of mid points for MCS calculations</t>
  </si>
  <si>
    <t xml:space="preserve">Graph Data </t>
  </si>
  <si>
    <t>Flow Temperature</t>
  </si>
  <si>
    <t>#08 SCOP table added to ErP inputs tab</t>
  </si>
  <si>
    <t>System Design Flow Temperature</t>
  </si>
  <si>
    <t>System Seasonal Coefficient of Performance</t>
  </si>
  <si>
    <t>Temperature application references are taken from EN 14825 NOT ErP definitions</t>
  </si>
  <si>
    <t>Table 1 Number of hours used for heating only - Average Climate</t>
  </si>
  <si>
    <t xml:space="preserve">        Crankcase heater added</t>
  </si>
  <si>
    <t xml:space="preserve">        Bivalent temperature added to calculation tabs and ErP Inputs tab</t>
  </si>
  <si>
    <t>Energy Label (Space Heater Only) to display SSHEE at</t>
  </si>
  <si>
    <t>#10 Selection menu changed on ErP Inputs to allow for Water Source heat pumps and GS &amp; WS VHTHPs</t>
  </si>
  <si>
    <t xml:space="preserve">        SCOP amended to take account of the control and ground pump correction factors</t>
  </si>
  <si>
    <t xml:space="preserve"> E (TOL)</t>
  </si>
  <si>
    <t>Bin Temperature</t>
  </si>
  <si>
    <t>Outdoor heat exchanger</t>
  </si>
  <si>
    <t>#11 Bivalent temperature input removed from application temperature tabs</t>
  </si>
  <si>
    <t>#12 Table reference corrected for ASHP's</t>
  </si>
  <si>
    <t>#13 link to degradation coefficient for VHTHP corrected</t>
  </si>
  <si>
    <t>#14 Energy Efficiency class changed to onl go up to A++</t>
  </si>
  <si>
    <t>#15 Medium SCOP - Bivalent temperaure MIN value</t>
  </si>
  <si>
    <t>#16 Condition E (TOL) - Bin temperature</t>
  </si>
  <si>
    <t>#17 Low temperautre application class corrected</t>
  </si>
  <si>
    <t xml:space="preserve">#18 Medium temperautre input reference corrected on 'Medium SCOP' tab, calculator now allows for TOL to -7oC, </t>
  </si>
  <si>
    <t>#19 Bivalent temperature correction, uses N/A instead of 0, Interpolation at 45 Prated, TOL check added for ASHPs</t>
  </si>
  <si>
    <t>Date</t>
  </si>
  <si>
    <t>Notes</t>
  </si>
  <si>
    <t>Correction Factor F(i)</t>
  </si>
  <si>
    <t>Bivalent Temperature</t>
  </si>
  <si>
    <t>Water Source</t>
  </si>
  <si>
    <t>Fixed Outlet</t>
  </si>
  <si>
    <t>F(Tbiv)</t>
  </si>
  <si>
    <t xml:space="preserve"> F (TBIV)</t>
  </si>
  <si>
    <t>Water outlet = 35 or, for variable outlet systems, by interpolation</t>
  </si>
  <si>
    <t>Water outlet = 45 or, for variable outlet systems, by interpolation</t>
  </si>
  <si>
    <t>Water outlet = 55 or, for variable outlet systems, by interpolation</t>
  </si>
  <si>
    <t>Water outlet = 65 or, for variable outlet systems, by interpolation</t>
  </si>
  <si>
    <t>F(Tbiv) data optional</t>
  </si>
  <si>
    <t>Tbiv data optional</t>
  </si>
  <si>
    <t>Bivalent temp input?</t>
  </si>
  <si>
    <t>Flow temp input?</t>
  </si>
  <si>
    <t>xx</t>
  </si>
  <si>
    <t>Air to Water</t>
  </si>
  <si>
    <t>Air to Air</t>
  </si>
  <si>
    <t>Included option to input data for  air - air heat pumps. Hours for On-mode, Thermostat-off and Crankcase heating  automatically  updated if air-air option selected.</t>
  </si>
  <si>
    <t>W/A</t>
  </si>
  <si>
    <t>Flow temperature options updated to include 20C for air-air.</t>
  </si>
  <si>
    <t>Formula for COPbin updated to match that in EN 14825:2018.</t>
  </si>
  <si>
    <t>MCS 026 SCOP and SSHEE calculator</t>
  </si>
  <si>
    <t>Amendments since publication</t>
  </si>
  <si>
    <t>Version</t>
  </si>
  <si>
    <t>Performance data at non-standard bivalent temperatures can now be input. Bivalent temperature calculation now recognises 90% heat load coverage by heat pump.</t>
  </si>
  <si>
    <t xml:space="preserve">Back up electrical heating set to zero if HP capacity at least 90% of heat demand (column K of worksheets). Method for determination of Tbiv updated (column R of worksheets) Heat Pump temp definitions updated to 14825 2018 </t>
  </si>
  <si>
    <t>First version published.</t>
  </si>
  <si>
    <t>Default degradation coefficient for air-air set to 0.25 (instead of 0.9).</t>
  </si>
  <si>
    <t>Low (35°C)</t>
  </si>
  <si>
    <r>
      <t>Has the manufacturer provided data to demonstrate that the heat pump can reach a flow temperature of 52</t>
    </r>
    <r>
      <rPr>
        <vertAlign val="superscript"/>
        <sz val="10"/>
        <color theme="1"/>
        <rFont val="Arial"/>
        <family val="2"/>
      </rPr>
      <t>o</t>
    </r>
    <r>
      <rPr>
        <sz val="10"/>
        <color theme="1"/>
        <rFont val="Arial"/>
        <family val="2"/>
      </rPr>
      <t>C at Condition A according to the relevant product table within EN 14825 for the average climate and high temperature application?</t>
    </r>
  </si>
  <si>
    <r>
      <t>Has the manufacturer provided data to demonstrate that the heat pump can reach a flow temperature of 61</t>
    </r>
    <r>
      <rPr>
        <vertAlign val="superscript"/>
        <sz val="10"/>
        <color theme="1"/>
        <rFont val="Arial"/>
        <family val="2"/>
      </rPr>
      <t>o</t>
    </r>
    <r>
      <rPr>
        <sz val="10"/>
        <color theme="1"/>
        <rFont val="Arial"/>
        <family val="2"/>
      </rPr>
      <t>C or greater at an inlet dry (wet) bulb temperature of -7</t>
    </r>
    <r>
      <rPr>
        <vertAlign val="superscript"/>
        <sz val="10"/>
        <color theme="1"/>
        <rFont val="Arial"/>
        <family val="2"/>
      </rPr>
      <t>o</t>
    </r>
    <r>
      <rPr>
        <sz val="10"/>
        <color theme="1"/>
        <rFont val="Arial"/>
        <family val="2"/>
      </rPr>
      <t>C (-8</t>
    </r>
    <r>
      <rPr>
        <vertAlign val="superscript"/>
        <sz val="10"/>
        <color theme="1"/>
        <rFont val="Arial"/>
        <family val="2"/>
      </rPr>
      <t>o</t>
    </r>
    <r>
      <rPr>
        <sz val="10"/>
        <color theme="1"/>
        <rFont val="Arial"/>
        <family val="2"/>
      </rPr>
      <t xml:space="preserve">C) for ASHP </t>
    </r>
    <r>
      <rPr>
        <b/>
        <sz val="10"/>
        <color theme="1"/>
        <rFont val="Arial"/>
        <family val="2"/>
      </rPr>
      <t>OR</t>
    </r>
    <r>
      <rPr>
        <sz val="10"/>
        <color rgb="FFFF0000"/>
        <rFont val="Arial"/>
        <family val="2"/>
      </rPr>
      <t xml:space="preserve"> </t>
    </r>
    <r>
      <rPr>
        <sz val="10"/>
        <color theme="1"/>
        <rFont val="Arial"/>
        <family val="2"/>
      </rPr>
      <t>Brine 0</t>
    </r>
    <r>
      <rPr>
        <vertAlign val="superscript"/>
        <sz val="10"/>
        <color theme="1"/>
        <rFont val="Arial"/>
        <family val="2"/>
      </rPr>
      <t>o</t>
    </r>
    <r>
      <rPr>
        <sz val="10"/>
        <color theme="1"/>
        <rFont val="Arial"/>
        <family val="2"/>
      </rPr>
      <t xml:space="preserve">C for Ground Source </t>
    </r>
    <r>
      <rPr>
        <b/>
        <sz val="10"/>
        <color theme="1"/>
        <rFont val="Arial"/>
        <family val="2"/>
      </rPr>
      <t>OR</t>
    </r>
    <r>
      <rPr>
        <sz val="10"/>
        <color theme="1"/>
        <rFont val="Arial"/>
        <family val="2"/>
      </rPr>
      <t xml:space="preserve"> Water 10</t>
    </r>
    <r>
      <rPr>
        <vertAlign val="superscript"/>
        <sz val="10"/>
        <color theme="1"/>
        <rFont val="Arial"/>
        <family val="2"/>
      </rPr>
      <t>o</t>
    </r>
    <r>
      <rPr>
        <sz val="10"/>
        <color theme="1"/>
        <rFont val="Arial"/>
        <family val="2"/>
      </rPr>
      <t>C for Water Source Heat Pumps?</t>
    </r>
  </si>
  <si>
    <t>ErP Inputs</t>
  </si>
  <si>
    <t>Applicable notes:</t>
  </si>
  <si>
    <t>Input bivalent temperature(s) only if this (these) is (are) different from the temperature for any other test condition otherwise leave blank.</t>
  </si>
  <si>
    <t>Bivalent temperatures - optional</t>
  </si>
  <si>
    <t>Heat generator?</t>
  </si>
  <si>
    <t>Temperature control?</t>
  </si>
  <si>
    <r>
      <rPr>
        <vertAlign val="superscript"/>
        <sz val="10"/>
        <color theme="1"/>
        <rFont val="Arial"/>
        <family val="2"/>
      </rPr>
      <t>o</t>
    </r>
    <r>
      <rPr>
        <sz val="10"/>
        <color theme="1"/>
        <rFont val="Arial"/>
        <family val="2"/>
      </rPr>
      <t>C</t>
    </r>
  </si>
  <si>
    <t>Low Temperature Heat Pumps only need to supply test data to 35oC</t>
  </si>
  <si>
    <t>Medium Temperature Heat Pumps must supply test data at 35oC and 55oC</t>
  </si>
  <si>
    <t>High Temperature Heat Pumps must supply test data to 35oC, 55oC and 65oC</t>
  </si>
  <si>
    <t>Rated Heat Output including the rated heat output of any supplementary heater under average climate conditions (kW).</t>
  </si>
  <si>
    <t>All entries to 3 significant figures.</t>
  </si>
  <si>
    <r>
      <t>Condition E - The design temperature (Tdesignh) for the average climate conditions is fixed at -10</t>
    </r>
    <r>
      <rPr>
        <i/>
        <vertAlign val="superscript"/>
        <sz val="10"/>
        <color theme="1"/>
        <rFont val="Arial"/>
        <family val="2"/>
      </rPr>
      <t>o</t>
    </r>
    <r>
      <rPr>
        <i/>
        <sz val="10"/>
        <color theme="1"/>
        <rFont val="Arial"/>
        <family val="2"/>
      </rPr>
      <t>C</t>
    </r>
  </si>
  <si>
    <r>
      <rPr>
        <b/>
        <vertAlign val="superscript"/>
        <sz val="10"/>
        <color theme="1"/>
        <rFont val="Arial"/>
        <family val="2"/>
      </rPr>
      <t>o</t>
    </r>
    <r>
      <rPr>
        <b/>
        <sz val="10"/>
        <color theme="1"/>
        <rFont val="Arial"/>
        <family val="2"/>
      </rPr>
      <t>C</t>
    </r>
  </si>
  <si>
    <r>
      <t>Thermostat-off power (P</t>
    </r>
    <r>
      <rPr>
        <vertAlign val="subscript"/>
        <sz val="10"/>
        <color theme="1"/>
        <rFont val="Arial"/>
        <family val="2"/>
      </rPr>
      <t>TO</t>
    </r>
    <r>
      <rPr>
        <sz val="10"/>
        <color theme="1"/>
        <rFont val="Arial"/>
        <family val="2"/>
      </rPr>
      <t>)</t>
    </r>
  </si>
  <si>
    <r>
      <t>Off power (P</t>
    </r>
    <r>
      <rPr>
        <vertAlign val="subscript"/>
        <sz val="10"/>
        <color theme="1"/>
        <rFont val="Arial"/>
        <family val="2"/>
      </rPr>
      <t>OFF</t>
    </r>
    <r>
      <rPr>
        <sz val="10"/>
        <color theme="1"/>
        <rFont val="Arial"/>
        <family val="2"/>
      </rPr>
      <t>)</t>
    </r>
  </si>
  <si>
    <r>
      <t>Crank Case Mode (P</t>
    </r>
    <r>
      <rPr>
        <vertAlign val="subscript"/>
        <sz val="10"/>
        <color theme="1"/>
        <rFont val="Arial"/>
        <family val="2"/>
      </rPr>
      <t>CK</t>
    </r>
    <r>
      <rPr>
        <sz val="10"/>
        <color theme="1"/>
        <rFont val="Arial"/>
        <family val="2"/>
      </rPr>
      <t>)</t>
    </r>
  </si>
  <si>
    <r>
      <t>Air to Water heat pumps must be capable of working at a temperature of -7</t>
    </r>
    <r>
      <rPr>
        <i/>
        <vertAlign val="superscript"/>
        <sz val="10"/>
        <color theme="1"/>
        <rFont val="Arial"/>
        <family val="2"/>
      </rPr>
      <t>o</t>
    </r>
    <r>
      <rPr>
        <i/>
        <sz val="10"/>
        <color theme="1"/>
        <rFont val="Arial"/>
        <family val="2"/>
      </rPr>
      <t>C or less</t>
    </r>
  </si>
  <si>
    <r>
      <t>Flow Temperature (</t>
    </r>
    <r>
      <rPr>
        <vertAlign val="superscript"/>
        <sz val="10"/>
        <color theme="0"/>
        <rFont val="Arial"/>
        <family val="2"/>
      </rPr>
      <t>o</t>
    </r>
    <r>
      <rPr>
        <sz val="10"/>
        <color theme="0"/>
        <rFont val="Arial"/>
        <family val="2"/>
      </rPr>
      <t>C)</t>
    </r>
  </si>
  <si>
    <r>
      <t>The table below is only to be filled out if additional performance data is supplied by the manufacturer at the sink temperature of 45</t>
    </r>
    <r>
      <rPr>
        <b/>
        <i/>
        <vertAlign val="superscript"/>
        <sz val="10"/>
        <color theme="1"/>
        <rFont val="Arial"/>
        <family val="2"/>
      </rPr>
      <t>o</t>
    </r>
    <r>
      <rPr>
        <b/>
        <i/>
        <sz val="10"/>
        <color theme="1"/>
        <rFont val="Arial"/>
        <family val="2"/>
      </rPr>
      <t>C. With the exception of missing Tbiv data, partial data are NOT to be accepted.</t>
    </r>
  </si>
  <si>
    <t>Cells highlighted orange indicate at which flow temperature the Heat pump cannot achieve an SCOP of 2.5</t>
  </si>
  <si>
    <t>Outputs</t>
  </si>
  <si>
    <r>
      <t xml:space="preserve">Tbivalent </t>
    </r>
    <r>
      <rPr>
        <vertAlign val="superscript"/>
        <sz val="10"/>
        <color theme="0"/>
        <rFont val="Arial"/>
        <family val="2"/>
      </rPr>
      <t>o</t>
    </r>
    <r>
      <rPr>
        <sz val="10"/>
        <color theme="0"/>
        <rFont val="Arial"/>
        <family val="2"/>
      </rPr>
      <t>C</t>
    </r>
  </si>
  <si>
    <r>
      <t>SCOP
(equivalent to SPF</t>
    </r>
    <r>
      <rPr>
        <vertAlign val="subscript"/>
        <sz val="10"/>
        <color theme="0"/>
        <rFont val="Arial"/>
        <family val="2"/>
      </rPr>
      <t>3</t>
    </r>
    <r>
      <rPr>
        <sz val="10"/>
        <color theme="0"/>
        <rFont val="Arial"/>
        <family val="2"/>
      </rPr>
      <t xml:space="preserve"> SEPEMO SH only)</t>
    </r>
  </si>
  <si>
    <r>
      <t>Thermostat-off power P</t>
    </r>
    <r>
      <rPr>
        <vertAlign val="subscript"/>
        <sz val="10"/>
        <color theme="1"/>
        <rFont val="Arial"/>
        <family val="2"/>
      </rPr>
      <t>TO</t>
    </r>
  </si>
  <si>
    <r>
      <t>Off power P</t>
    </r>
    <r>
      <rPr>
        <vertAlign val="subscript"/>
        <sz val="10"/>
        <color theme="1"/>
        <rFont val="Arial"/>
        <family val="2"/>
      </rPr>
      <t>OFF</t>
    </r>
  </si>
  <si>
    <r>
      <t>Crankcase heater power P</t>
    </r>
    <r>
      <rPr>
        <vertAlign val="subscript"/>
        <sz val="10"/>
        <color theme="1"/>
        <rFont val="Arial"/>
        <family val="2"/>
      </rPr>
      <t>CK</t>
    </r>
  </si>
  <si>
    <r>
      <t>Q</t>
    </r>
    <r>
      <rPr>
        <vertAlign val="subscript"/>
        <sz val="10"/>
        <color theme="1"/>
        <rFont val="Arial"/>
        <family val="2"/>
      </rPr>
      <t>H</t>
    </r>
    <r>
      <rPr>
        <sz val="10"/>
        <color theme="1"/>
        <rFont val="Arial"/>
        <family val="2"/>
      </rPr>
      <t xml:space="preserve"> = P</t>
    </r>
    <r>
      <rPr>
        <vertAlign val="subscript"/>
        <sz val="10"/>
        <color theme="1"/>
        <rFont val="Arial"/>
        <family val="2"/>
      </rPr>
      <t>designh</t>
    </r>
    <r>
      <rPr>
        <sz val="10"/>
        <color theme="1"/>
        <rFont val="Arial"/>
        <family val="2"/>
      </rPr>
      <t xml:space="preserve"> x H</t>
    </r>
    <r>
      <rPr>
        <vertAlign val="subscript"/>
        <sz val="10"/>
        <color theme="1"/>
        <rFont val="Arial"/>
        <family val="2"/>
      </rPr>
      <t>HE</t>
    </r>
  </si>
  <si>
    <r>
      <t>Annual Electrical consumption Q</t>
    </r>
    <r>
      <rPr>
        <vertAlign val="subscript"/>
        <sz val="10"/>
        <color theme="1"/>
        <rFont val="Arial"/>
        <family val="2"/>
      </rPr>
      <t>HE</t>
    </r>
  </si>
  <si>
    <r>
      <t>COP</t>
    </r>
    <r>
      <rPr>
        <vertAlign val="subscript"/>
        <sz val="10"/>
        <color theme="1"/>
        <rFont val="Arial"/>
        <family val="2"/>
      </rPr>
      <t>DC</t>
    </r>
  </si>
  <si>
    <r>
      <t>COP</t>
    </r>
    <r>
      <rPr>
        <vertAlign val="subscript"/>
        <sz val="10"/>
        <color theme="1"/>
        <rFont val="Arial"/>
        <family val="2"/>
      </rPr>
      <t>PL</t>
    </r>
  </si>
  <si>
    <r>
      <t>T</t>
    </r>
    <r>
      <rPr>
        <vertAlign val="subscript"/>
        <sz val="10"/>
        <color theme="1"/>
        <rFont val="Arial"/>
        <family val="2"/>
      </rPr>
      <t>j</t>
    </r>
  </si>
  <si>
    <r>
      <t>h</t>
    </r>
    <r>
      <rPr>
        <vertAlign val="subscript"/>
        <sz val="10"/>
        <color theme="1"/>
        <rFont val="Arial"/>
        <family val="2"/>
      </rPr>
      <t>j</t>
    </r>
  </si>
  <si>
    <r>
      <t>Ph</t>
    </r>
    <r>
      <rPr>
        <vertAlign val="subscript"/>
        <sz val="10"/>
        <color theme="1"/>
        <rFont val="Arial"/>
        <family val="2"/>
      </rPr>
      <t>(Tj)</t>
    </r>
  </si>
  <si>
    <r>
      <t>h</t>
    </r>
    <r>
      <rPr>
        <vertAlign val="subscript"/>
        <sz val="10"/>
        <color theme="1"/>
        <rFont val="Arial"/>
        <family val="2"/>
      </rPr>
      <t>j</t>
    </r>
    <r>
      <rPr>
        <sz val="10"/>
        <color theme="1"/>
        <rFont val="Arial"/>
        <family val="2"/>
      </rPr>
      <t xml:space="preserve"> x Ph</t>
    </r>
    <r>
      <rPr>
        <vertAlign val="subscript"/>
        <sz val="10"/>
        <color theme="1"/>
        <rFont val="Arial"/>
        <family val="2"/>
      </rPr>
      <t>(Tj)</t>
    </r>
  </si>
  <si>
    <r>
      <t>elbu</t>
    </r>
    <r>
      <rPr>
        <vertAlign val="subscript"/>
        <sz val="10"/>
        <color theme="1"/>
        <rFont val="Arial"/>
        <family val="2"/>
      </rPr>
      <t>(Tj)</t>
    </r>
    <r>
      <rPr>
        <sz val="11"/>
        <color theme="1"/>
        <rFont val="Calibri"/>
        <family val="2"/>
        <scheme val="minor"/>
      </rPr>
      <t/>
    </r>
  </si>
  <si>
    <r>
      <t>h</t>
    </r>
    <r>
      <rPr>
        <vertAlign val="subscript"/>
        <sz val="10"/>
        <color theme="1"/>
        <rFont val="Arial"/>
        <family val="2"/>
      </rPr>
      <t>j</t>
    </r>
    <r>
      <rPr>
        <sz val="10"/>
        <color theme="1"/>
        <rFont val="Arial"/>
        <family val="2"/>
      </rPr>
      <t xml:space="preserve"> x elbu</t>
    </r>
    <r>
      <rPr>
        <vertAlign val="subscript"/>
        <sz val="10"/>
        <color theme="1"/>
        <rFont val="Arial"/>
        <family val="2"/>
      </rPr>
      <t>(Tj)</t>
    </r>
    <r>
      <rPr>
        <sz val="11"/>
        <color theme="1"/>
        <rFont val="Calibri"/>
        <family val="2"/>
        <scheme val="minor"/>
      </rPr>
      <t/>
    </r>
  </si>
  <si>
    <r>
      <t>h</t>
    </r>
    <r>
      <rPr>
        <vertAlign val="subscript"/>
        <sz val="10"/>
        <color theme="1"/>
        <rFont val="Arial"/>
        <family val="2"/>
      </rPr>
      <t>j</t>
    </r>
    <r>
      <rPr>
        <sz val="10"/>
        <color theme="1"/>
        <rFont val="Arial"/>
        <family val="2"/>
      </rPr>
      <t xml:space="preserve"> x [Ph</t>
    </r>
    <r>
      <rPr>
        <vertAlign val="subscript"/>
        <sz val="10"/>
        <color theme="1"/>
        <rFont val="Arial"/>
        <family val="2"/>
      </rPr>
      <t>(Tj)</t>
    </r>
    <r>
      <rPr>
        <sz val="10"/>
        <color theme="1"/>
        <rFont val="Arial"/>
        <family val="2"/>
      </rPr>
      <t xml:space="preserve"> - elbu</t>
    </r>
    <r>
      <rPr>
        <vertAlign val="subscript"/>
        <sz val="10"/>
        <color theme="1"/>
        <rFont val="Arial"/>
        <family val="2"/>
      </rPr>
      <t>(Tj)</t>
    </r>
    <r>
      <rPr>
        <sz val="10"/>
        <color theme="1"/>
        <rFont val="Arial"/>
        <family val="2"/>
      </rPr>
      <t xml:space="preserve"> / COP</t>
    </r>
    <r>
      <rPr>
        <vertAlign val="subscript"/>
        <sz val="10"/>
        <color theme="1"/>
        <rFont val="Arial"/>
        <family val="2"/>
      </rPr>
      <t>PL(Tj)</t>
    </r>
    <r>
      <rPr>
        <sz val="10"/>
        <color theme="1"/>
        <rFont val="Arial"/>
        <family val="2"/>
      </rPr>
      <t xml:space="preserve"> + elbu</t>
    </r>
    <r>
      <rPr>
        <vertAlign val="subscript"/>
        <sz val="10"/>
        <color theme="1"/>
        <rFont val="Arial"/>
        <family val="2"/>
      </rPr>
      <t>(Tj)</t>
    </r>
    <r>
      <rPr>
        <sz val="10"/>
        <color theme="1"/>
        <rFont val="Arial"/>
        <family val="2"/>
      </rPr>
      <t>]</t>
    </r>
  </si>
  <si>
    <r>
      <t>h</t>
    </r>
    <r>
      <rPr>
        <vertAlign val="subscript"/>
        <sz val="10"/>
        <color theme="1"/>
        <rFont val="Arial"/>
        <family val="2"/>
      </rPr>
      <t>j</t>
    </r>
    <r>
      <rPr>
        <sz val="10"/>
        <color theme="1"/>
        <rFont val="Arial"/>
        <family val="2"/>
      </rPr>
      <t xml:space="preserve"> x Ph</t>
    </r>
    <r>
      <rPr>
        <vertAlign val="subscript"/>
        <sz val="10"/>
        <color theme="1"/>
        <rFont val="Arial"/>
        <family val="2"/>
      </rPr>
      <t>(Tj)</t>
    </r>
    <r>
      <rPr>
        <sz val="10"/>
        <color theme="1"/>
        <rFont val="Arial"/>
        <family val="2"/>
      </rPr>
      <t xml:space="preserve"> - elbu</t>
    </r>
    <r>
      <rPr>
        <vertAlign val="subscript"/>
        <sz val="10"/>
        <color theme="1"/>
        <rFont val="Arial"/>
        <family val="2"/>
      </rPr>
      <t>(Tj)</t>
    </r>
    <r>
      <rPr>
        <sz val="10"/>
        <color theme="1"/>
        <rFont val="Arial"/>
        <family val="2"/>
      </rPr>
      <t xml:space="preserve"> / COP</t>
    </r>
    <r>
      <rPr>
        <vertAlign val="subscript"/>
        <sz val="10"/>
        <color theme="1"/>
        <rFont val="Arial"/>
        <family val="2"/>
      </rPr>
      <t>PL(Tj)</t>
    </r>
    <r>
      <rPr>
        <sz val="11"/>
        <color theme="1"/>
        <rFont val="Calibri"/>
        <family val="2"/>
        <scheme val="minor"/>
      </rPr>
      <t/>
    </r>
  </si>
  <si>
    <t>This calculator can only be used for calculating the Seasonal Space Heating Energy Efficiency (SSHEE) and Seasonal Coefficient of Performance (SCOP) for Air-to-water/Brine-to-water heat pumps under the average climate conditions, as defined by Commission Regulation (EU) No. 813/2013.</t>
  </si>
  <si>
    <r>
      <t>COP</t>
    </r>
    <r>
      <rPr>
        <vertAlign val="subscript"/>
        <sz val="10"/>
        <color theme="0"/>
        <rFont val="Arial"/>
        <family val="2"/>
      </rPr>
      <t>PL</t>
    </r>
  </si>
  <si>
    <r>
      <t>Thermostat-off mode H</t>
    </r>
    <r>
      <rPr>
        <vertAlign val="subscript"/>
        <sz val="10"/>
        <color theme="0"/>
        <rFont val="Arial"/>
        <family val="2"/>
      </rPr>
      <t>TO</t>
    </r>
  </si>
  <si>
    <r>
      <t>Standby mode H</t>
    </r>
    <r>
      <rPr>
        <vertAlign val="subscript"/>
        <sz val="10"/>
        <color theme="0"/>
        <rFont val="Arial"/>
        <family val="2"/>
      </rPr>
      <t>SB</t>
    </r>
  </si>
  <si>
    <r>
      <t>Off mode H</t>
    </r>
    <r>
      <rPr>
        <vertAlign val="subscript"/>
        <sz val="10"/>
        <color theme="0"/>
        <rFont val="Arial"/>
        <family val="2"/>
      </rPr>
      <t>OFF</t>
    </r>
  </si>
  <si>
    <r>
      <t>Crankcase heater mode H</t>
    </r>
    <r>
      <rPr>
        <vertAlign val="subscript"/>
        <sz val="10"/>
        <color theme="0"/>
        <rFont val="Arial"/>
        <family val="2"/>
      </rPr>
      <t>CK</t>
    </r>
  </si>
  <si>
    <r>
      <t>SCOP</t>
    </r>
    <r>
      <rPr>
        <b/>
        <vertAlign val="subscript"/>
        <sz val="10"/>
        <color theme="1"/>
        <rFont val="Arial"/>
        <family val="2"/>
      </rPr>
      <t>ON</t>
    </r>
  </si>
  <si>
    <r>
      <t>SCOP</t>
    </r>
    <r>
      <rPr>
        <b/>
        <vertAlign val="subscript"/>
        <sz val="10"/>
        <color theme="1"/>
        <rFont val="Arial"/>
        <family val="2"/>
      </rPr>
      <t>NET</t>
    </r>
  </si>
  <si>
    <r>
      <t>T</t>
    </r>
    <r>
      <rPr>
        <vertAlign val="subscript"/>
        <sz val="10"/>
        <rFont val="Arial"/>
        <family val="2"/>
      </rPr>
      <t>j</t>
    </r>
  </si>
  <si>
    <r>
      <t>h</t>
    </r>
    <r>
      <rPr>
        <vertAlign val="subscript"/>
        <sz val="10"/>
        <rFont val="Arial"/>
        <family val="2"/>
      </rPr>
      <t>j</t>
    </r>
  </si>
  <si>
    <r>
      <t>Ph</t>
    </r>
    <r>
      <rPr>
        <vertAlign val="subscript"/>
        <sz val="10"/>
        <rFont val="Arial"/>
        <family val="2"/>
      </rPr>
      <t>(Tj)</t>
    </r>
  </si>
  <si>
    <r>
      <t>h</t>
    </r>
    <r>
      <rPr>
        <vertAlign val="subscript"/>
        <sz val="10"/>
        <rFont val="Arial"/>
        <family val="2"/>
      </rPr>
      <t>j</t>
    </r>
    <r>
      <rPr>
        <sz val="10"/>
        <rFont val="Arial"/>
        <family val="2"/>
      </rPr>
      <t xml:space="preserve"> x Ph</t>
    </r>
    <r>
      <rPr>
        <vertAlign val="subscript"/>
        <sz val="10"/>
        <rFont val="Arial"/>
        <family val="2"/>
      </rPr>
      <t>(Tj)</t>
    </r>
  </si>
  <si>
    <r>
      <t>elbu</t>
    </r>
    <r>
      <rPr>
        <vertAlign val="subscript"/>
        <sz val="10"/>
        <rFont val="Arial"/>
        <family val="2"/>
      </rPr>
      <t>(Tj)</t>
    </r>
    <r>
      <rPr>
        <sz val="11"/>
        <color theme="1"/>
        <rFont val="Calibri"/>
        <family val="2"/>
        <scheme val="minor"/>
      </rPr>
      <t/>
    </r>
  </si>
  <si>
    <r>
      <t>h</t>
    </r>
    <r>
      <rPr>
        <vertAlign val="subscript"/>
        <sz val="10"/>
        <rFont val="Arial"/>
        <family val="2"/>
      </rPr>
      <t>j</t>
    </r>
    <r>
      <rPr>
        <sz val="10"/>
        <rFont val="Arial"/>
        <family val="2"/>
      </rPr>
      <t xml:space="preserve"> x elbu</t>
    </r>
    <r>
      <rPr>
        <vertAlign val="subscript"/>
        <sz val="10"/>
        <rFont val="Arial"/>
        <family val="2"/>
      </rPr>
      <t>(Tj)</t>
    </r>
    <r>
      <rPr>
        <sz val="11"/>
        <color theme="1"/>
        <rFont val="Calibri"/>
        <family val="2"/>
        <scheme val="minor"/>
      </rPr>
      <t/>
    </r>
  </si>
  <si>
    <r>
      <t>h</t>
    </r>
    <r>
      <rPr>
        <vertAlign val="subscript"/>
        <sz val="10"/>
        <rFont val="Arial"/>
        <family val="2"/>
      </rPr>
      <t>j</t>
    </r>
    <r>
      <rPr>
        <sz val="10"/>
        <rFont val="Arial"/>
        <family val="2"/>
      </rPr>
      <t xml:space="preserve"> x [Ph</t>
    </r>
    <r>
      <rPr>
        <vertAlign val="subscript"/>
        <sz val="10"/>
        <rFont val="Arial"/>
        <family val="2"/>
      </rPr>
      <t>(Tj)</t>
    </r>
    <r>
      <rPr>
        <sz val="10"/>
        <rFont val="Arial"/>
        <family val="2"/>
      </rPr>
      <t xml:space="preserve"> - elbu</t>
    </r>
    <r>
      <rPr>
        <vertAlign val="subscript"/>
        <sz val="10"/>
        <rFont val="Arial"/>
        <family val="2"/>
      </rPr>
      <t>(Tj)</t>
    </r>
    <r>
      <rPr>
        <sz val="10"/>
        <rFont val="Arial"/>
        <family val="2"/>
      </rPr>
      <t xml:space="preserve"> / COP</t>
    </r>
    <r>
      <rPr>
        <vertAlign val="subscript"/>
        <sz val="10"/>
        <rFont val="Arial"/>
        <family val="2"/>
      </rPr>
      <t>PL(Tj)</t>
    </r>
    <r>
      <rPr>
        <sz val="10"/>
        <rFont val="Arial"/>
        <family val="2"/>
      </rPr>
      <t xml:space="preserve"> + elbu</t>
    </r>
    <r>
      <rPr>
        <vertAlign val="subscript"/>
        <sz val="10"/>
        <rFont val="Arial"/>
        <family val="2"/>
      </rPr>
      <t>(Tj)</t>
    </r>
    <r>
      <rPr>
        <sz val="10"/>
        <rFont val="Arial"/>
        <family val="2"/>
      </rPr>
      <t>]</t>
    </r>
  </si>
  <si>
    <t>Commission Communication 2014/C 207/02</t>
  </si>
  <si>
    <t>(1) When the declared capacity is lower than the part load, the value of CR is considered to be 1 and thus COPbin(Tj) equal to COPd.</t>
  </si>
  <si>
    <r>
      <t xml:space="preserve">Capacity Ratio
</t>
    </r>
    <r>
      <rPr>
        <i/>
        <sz val="9"/>
        <color theme="0"/>
        <rFont val="Arial"/>
        <family val="2"/>
      </rPr>
      <t>(Note 1)</t>
    </r>
  </si>
  <si>
    <t>(2) Default degradation coefficient equals 0.9 or 0.25 for air-air HP.</t>
  </si>
  <si>
    <r>
      <t xml:space="preserve">Degradation coefficient
</t>
    </r>
    <r>
      <rPr>
        <i/>
        <sz val="9"/>
        <color theme="0"/>
        <rFont val="Arial"/>
        <family val="2"/>
      </rPr>
      <t>(Note 2)</t>
    </r>
  </si>
  <si>
    <t>(2) Default degradation coefficient equals 0.9.</t>
  </si>
  <si>
    <t xml:space="preserve">#07 SCOP calculated at flow temperatures between 35 and 55, factor changed to 0.5 for 45 conditions to give graph straight line as default. </t>
  </si>
  <si>
    <r>
      <t>#09 Correction for 45</t>
    </r>
    <r>
      <rPr>
        <vertAlign val="superscript"/>
        <sz val="10"/>
        <color theme="1"/>
        <rFont val="Arial"/>
        <family val="2"/>
      </rPr>
      <t>o</t>
    </r>
    <r>
      <rPr>
        <sz val="10"/>
        <color theme="1"/>
        <rFont val="Arial"/>
        <family val="2"/>
      </rPr>
      <t>C data to include inputted data</t>
    </r>
  </si>
  <si>
    <r>
      <t xml:space="preserve">        System SCOP changed to SCOP (equivalent to SPF</t>
    </r>
    <r>
      <rPr>
        <vertAlign val="subscript"/>
        <sz val="10"/>
        <color theme="1"/>
        <rFont val="Arial"/>
        <family val="2"/>
      </rPr>
      <t>3</t>
    </r>
    <r>
      <rPr>
        <sz val="10"/>
        <color theme="1"/>
        <rFont val="Arial"/>
        <family val="2"/>
      </rPr>
      <t xml:space="preserve"> SEPEMO SH only)</t>
    </r>
  </si>
  <si>
    <r>
      <t xml:space="preserve">        Rated heat output added to specify capacity of HP and supplementary for property load at -10</t>
    </r>
    <r>
      <rPr>
        <vertAlign val="superscript"/>
        <sz val="10"/>
        <color theme="1"/>
        <rFont val="Arial"/>
        <family val="2"/>
      </rPr>
      <t>o</t>
    </r>
    <r>
      <rPr>
        <sz val="10"/>
        <color theme="1"/>
        <rFont val="Arial"/>
        <family val="2"/>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</si>
</sst>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42"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font>
    <font>
      <sz val="9.9"/>
      <color theme="1"/>
      <name val="Calibri"/>
      <family val="2"/>
    </font>
    <font>
      <sz val="11"/>
      <color theme="1"/>
      <name val="Calibri"/>
      <family val="2"/>
      <scheme val="minor"/>
    </font>
    <font>
      <sz val="10"/>
      <name val="Arial"/>
      <family val="2"/>
    </font>
    <font>
      <sz val="12"/>
      <color theme="1"/>
      <name val="Calibri"/>
      <family val="2"/>
      <scheme val="minor"/>
    </font>
    <font>
      <sz val="10"/>
      <name val="Arial"/>
      <family val="2"/>
    </font>
    <font>
      <b/>
      <sz val="10"/>
      <name val="Arial"/>
      <family val="2"/>
    </font>
    <font>
      <u/>
      <sz val="11"/>
      <color theme="10"/>
      <name val="Calibri"/>
      <family val="2"/>
      <scheme val="minor"/>
    </font>
    <font>
      <u/>
      <sz val="11"/>
      <color theme="11"/>
      <name val="Calibri"/>
      <family val="2"/>
      <scheme val="minor"/>
    </font>
    <font>
      <sz val="10"/>
      <color rgb="FFFF0000"/>
      <name val="Arial"/>
      <family val="2"/>
    </font>
    <font>
      <sz val="12"/>
      <color theme="1"/>
      <name val="Arial"/>
      <family val="2"/>
    </font>
    <font>
      <b/>
      <sz val="16"/>
      <color theme="1"/>
      <name val="Arial"/>
      <family val="2"/>
    </font>
    <font>
      <u/>
      <sz val="12"/>
      <color theme="10"/>
      <name val="Calibri"/>
      <family val="2"/>
      <scheme val="minor"/>
    </font>
    <font>
      <sz val="12"/>
      <name val="Arial"/>
      <family val="2"/>
    </font>
    <font>
      <b/>
      <sz val="12"/>
      <color theme="0"/>
      <name val="Arial"/>
      <family val="2"/>
    </font>
    <font>
      <sz val="10"/>
      <color theme="1"/>
      <name val="Arial"/>
      <family val="2"/>
    </font>
    <font>
      <b/>
      <sz val="10"/>
      <color theme="0"/>
      <name val="Arial"/>
      <family val="2"/>
    </font>
    <font>
      <b/>
      <sz val="11"/>
      <color theme="1"/>
      <name val="Arial"/>
      <family val="2"/>
    </font>
    <font>
      <vertAlign val="superscript"/>
      <sz val="10"/>
      <color theme="1"/>
      <name val="Arial"/>
      <family val="2"/>
    </font>
    <font>
      <b/>
      <sz val="10"/>
      <color theme="1"/>
      <name val="Arial"/>
      <family val="2"/>
    </font>
    <font>
      <sz val="10"/>
      <color theme="0"/>
      <name val="Arial"/>
      <family val="2"/>
    </font>
    <font>
      <i/>
      <sz val="10"/>
      <color theme="1"/>
      <name val="Arial"/>
      <family val="2"/>
    </font>
    <font>
      <i/>
      <vertAlign val="superscript"/>
      <sz val="10"/>
      <color theme="1"/>
      <name val="Arial"/>
      <family val="2"/>
    </font>
    <font>
      <b/>
      <sz val="10"/>
      <color rgb="FFFF0000"/>
      <name val="Arial"/>
      <family val="2"/>
    </font>
    <font>
      <b/>
      <vertAlign val="superscript"/>
      <sz val="10"/>
      <color theme="1"/>
      <name val="Arial"/>
      <family val="2"/>
    </font>
    <font>
      <b/>
      <vertAlign val="subscript"/>
      <sz val="10"/>
      <color theme="1"/>
      <name val="Arial"/>
      <family val="2"/>
    </font>
    <font>
      <sz val="10"/>
      <color rgb="FFD9D9D9"/>
      <name val="Arial"/>
      <family val="2"/>
    </font>
    <font>
      <b/>
      <sz val="10"/>
      <color rgb="FFD9D9D9"/>
      <name val="Arial"/>
      <family val="2"/>
    </font>
    <font>
      <b/>
      <i/>
      <sz val="10"/>
      <color theme="1"/>
      <name val="Arial"/>
      <family val="2"/>
    </font>
    <font>
      <vertAlign val="subscript"/>
      <sz val="10"/>
      <color theme="1"/>
      <name val="Arial"/>
      <family val="2"/>
    </font>
    <font>
      <vertAlign val="superscript"/>
      <sz val="10"/>
      <color theme="0"/>
      <name val="Arial"/>
      <family val="2"/>
    </font>
    <font>
      <i/>
      <sz val="10"/>
      <color theme="0"/>
      <name val="Arial"/>
      <family val="2"/>
    </font>
    <font>
      <b/>
      <i/>
      <vertAlign val="superscript"/>
      <sz val="10"/>
      <color theme="1"/>
      <name val="Arial"/>
      <family val="2"/>
    </font>
    <font>
      <vertAlign val="subscript"/>
      <sz val="10"/>
      <name val="Arial"/>
      <family val="2"/>
    </font>
    <font>
      <vertAlign val="subscript"/>
      <sz val="10"/>
      <color theme="0"/>
      <name val="Arial"/>
      <family val="2"/>
    </font>
    <font>
      <b/>
      <sz val="20"/>
      <color theme="0"/>
      <name val="Arial"/>
      <family val="2"/>
    </font>
    <font>
      <i/>
      <sz val="10"/>
      <name val="Arial"/>
      <family val="2"/>
    </font>
    <font>
      <i/>
      <sz val="9"/>
      <color theme="0"/>
      <name val="Arial"/>
      <family val="2"/>
    </font>
    <font>
      <sz val="10"/>
      <color theme="4" tint="0.79998168889431442"/>
      <name val="Arial"/>
      <family val="2"/>
    </font>
  </fonts>
  <fills count="1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FFC81E"/>
        <bgColor indexed="64"/>
      </patternFill>
    </fill>
    <fill>
      <patternFill patternType="solid">
        <fgColor rgb="FFFFE590"/>
        <bgColor indexed="64"/>
      </patternFill>
    </fill>
    <fill>
      <patternFill patternType="solid">
        <fgColor rgb="FFEA9F8F"/>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29">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style="medium">
        <color auto="1"/>
      </right>
      <top/>
      <bottom/>
      <diagonal/>
    </border>
    <border>
      <left/>
      <right/>
      <top/>
      <bottom style="medium">
        <color auto="1"/>
      </bottom>
      <diagonal/>
    </border>
    <border>
      <left/>
      <right/>
      <top style="medium">
        <color indexed="64"/>
      </top>
      <bottom/>
      <diagonal/>
    </border>
    <border>
      <left/>
      <right style="medium">
        <color indexed="64"/>
      </right>
      <top style="medium">
        <color indexed="64"/>
      </top>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s>
  <cellStyleXfs count="18">
    <xf numFmtId="0" fontId="0" fillId="0" borderId="0"/>
    <xf numFmtId="9" fontId="5" fillId="0" borderId="0" applyFont="0" applyFill="0" applyBorder="0" applyAlignment="0" applyProtection="0"/>
    <xf numFmtId="0" fontId="6" fillId="0" borderId="0"/>
    <xf numFmtId="0" fontId="7" fillId="0" borderId="0"/>
    <xf numFmtId="0" fontId="8" fillId="0" borderId="0">
      <protection locked="0"/>
    </xf>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2" fillId="0" borderId="0"/>
    <xf numFmtId="0" fontId="6" fillId="0" borderId="0">
      <protection locked="0"/>
    </xf>
    <xf numFmtId="0" fontId="10" fillId="0" borderId="0" applyNumberFormat="0" applyFill="0" applyBorder="0" applyAlignment="0" applyProtection="0"/>
    <xf numFmtId="0" fontId="11" fillId="0" borderId="0" applyNumberFormat="0" applyFill="0" applyBorder="0" applyAlignment="0" applyProtection="0"/>
    <xf numFmtId="0" fontId="1" fillId="0" borderId="0"/>
    <xf numFmtId="0" fontId="1" fillId="0" borderId="0"/>
    <xf numFmtId="0" fontId="15" fillId="0" borderId="0" applyNumberFormat="0" applyFill="0" applyBorder="0" applyAlignment="0" applyProtection="0"/>
  </cellStyleXfs>
  <cellXfs count="274">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xf>
    <xf numFmtId="0" fontId="3" fillId="0" borderId="1" xfId="0" applyFont="1" applyBorder="1" applyAlignment="1">
      <alignment horizontal="center"/>
    </xf>
    <xf numFmtId="0" fontId="0" fillId="2" borderId="1" xfId="0" applyFill="1" applyBorder="1" applyAlignment="1">
      <alignment horizontal="center"/>
    </xf>
    <xf numFmtId="0" fontId="0" fillId="2" borderId="1" xfId="0" applyFill="1" applyBorder="1"/>
    <xf numFmtId="0" fontId="13" fillId="3" borderId="0" xfId="15" applyFont="1" applyFill="1" applyAlignment="1">
      <alignment vertical="center"/>
    </xf>
    <xf numFmtId="0" fontId="13" fillId="4" borderId="2" xfId="16" applyFont="1" applyFill="1" applyBorder="1" applyAlignment="1">
      <alignment vertical="center"/>
    </xf>
    <xf numFmtId="0" fontId="13" fillId="4" borderId="20" xfId="16" applyFont="1" applyFill="1" applyBorder="1" applyAlignment="1">
      <alignment vertical="center"/>
    </xf>
    <xf numFmtId="0" fontId="13" fillId="4" borderId="21" xfId="16" applyFont="1" applyFill="1" applyBorder="1" applyAlignment="1">
      <alignment vertical="center"/>
    </xf>
    <xf numFmtId="0" fontId="13" fillId="3" borderId="0" xfId="15" applyFont="1" applyFill="1" applyAlignment="1">
      <alignment vertical="center" wrapText="1"/>
    </xf>
    <xf numFmtId="0" fontId="13" fillId="4" borderId="3" xfId="16" applyFont="1" applyFill="1" applyBorder="1" applyAlignment="1">
      <alignment vertical="center"/>
    </xf>
    <xf numFmtId="0" fontId="13" fillId="4" borderId="0" xfId="16" applyFont="1" applyFill="1" applyAlignment="1">
      <alignment vertical="center"/>
    </xf>
    <xf numFmtId="0" fontId="14" fillId="4" borderId="0" xfId="16" applyFont="1" applyFill="1" applyAlignment="1">
      <alignment vertical="center"/>
    </xf>
    <xf numFmtId="0" fontId="13" fillId="4" borderId="18" xfId="16" applyFont="1" applyFill="1" applyBorder="1" applyAlignment="1">
      <alignment vertical="center"/>
    </xf>
    <xf numFmtId="0" fontId="15" fillId="4" borderId="0" xfId="17" applyFill="1" applyAlignment="1">
      <alignment horizontal="left" vertical="center" wrapText="1"/>
    </xf>
    <xf numFmtId="0" fontId="13" fillId="4" borderId="18" xfId="16" applyFont="1" applyFill="1" applyBorder="1" applyAlignment="1">
      <alignment vertical="center" wrapText="1"/>
    </xf>
    <xf numFmtId="0" fontId="13" fillId="0" borderId="3" xfId="15" applyFont="1" applyBorder="1" applyAlignment="1" applyProtection="1">
      <alignment vertical="center"/>
      <protection locked="0"/>
    </xf>
    <xf numFmtId="0" fontId="13" fillId="0" borderId="0" xfId="15" applyFont="1" applyAlignment="1" applyProtection="1">
      <alignment vertical="center"/>
      <protection locked="0"/>
    </xf>
    <xf numFmtId="0" fontId="13" fillId="0" borderId="18" xfId="15" applyFont="1" applyBorder="1" applyAlignment="1" applyProtection="1">
      <alignment vertical="center"/>
      <protection locked="0"/>
    </xf>
    <xf numFmtId="0" fontId="16" fillId="0" borderId="18" xfId="15" applyFont="1" applyBorder="1" applyAlignment="1" applyProtection="1">
      <alignment vertical="center" wrapText="1"/>
      <protection locked="0"/>
    </xf>
    <xf numFmtId="0" fontId="13" fillId="0" borderId="4" xfId="16" applyFont="1" applyBorder="1" applyAlignment="1">
      <alignment vertical="center"/>
    </xf>
    <xf numFmtId="0" fontId="13" fillId="0" borderId="19" xfId="16" applyFont="1" applyBorder="1" applyAlignment="1">
      <alignment vertical="center"/>
    </xf>
    <xf numFmtId="0" fontId="13" fillId="0" borderId="5" xfId="16" applyFont="1" applyBorder="1" applyAlignment="1">
      <alignment vertical="center"/>
    </xf>
    <xf numFmtId="0" fontId="17" fillId="5" borderId="0" xfId="16" applyFont="1" applyFill="1" applyAlignment="1">
      <alignment horizontal="left" vertical="center" wrapText="1"/>
    </xf>
    <xf numFmtId="0" fontId="18" fillId="0" borderId="0" xfId="16" applyFont="1"/>
    <xf numFmtId="0" fontId="19" fillId="5" borderId="1" xfId="16" applyFont="1" applyFill="1" applyBorder="1" applyAlignment="1">
      <alignment horizontal="center" vertical="center"/>
    </xf>
    <xf numFmtId="0" fontId="19" fillId="5" borderId="1" xfId="16" applyFont="1" applyFill="1" applyBorder="1" applyAlignment="1">
      <alignment horizontal="left" vertical="center"/>
    </xf>
    <xf numFmtId="14" fontId="18" fillId="0" borderId="1" xfId="16" applyNumberFormat="1" applyFont="1" applyBorder="1" applyAlignment="1">
      <alignment horizontal="center" vertical="center"/>
    </xf>
    <xf numFmtId="166" fontId="18" fillId="0" borderId="1" xfId="16" applyNumberFormat="1" applyFont="1" applyBorder="1" applyAlignment="1">
      <alignment horizontal="center" vertical="center"/>
    </xf>
    <xf numFmtId="0" fontId="6" fillId="0" borderId="1" xfId="16" applyFont="1" applyBorder="1" applyAlignment="1">
      <alignment horizontal="left" vertical="center" wrapText="1"/>
    </xf>
    <xf numFmtId="0" fontId="18" fillId="0" borderId="0" xfId="16" applyFont="1" applyAlignment="1">
      <alignment horizontal="center" vertical="center"/>
    </xf>
    <xf numFmtId="0" fontId="18" fillId="0" borderId="0" xfId="16" applyFont="1" applyAlignment="1">
      <alignment horizontal="left" vertical="center"/>
    </xf>
    <xf numFmtId="0" fontId="18" fillId="0" borderId="1" xfId="16" applyFont="1" applyBorder="1" applyAlignment="1">
      <alignment horizontal="center" vertical="center"/>
    </xf>
    <xf numFmtId="0" fontId="18" fillId="0" borderId="1" xfId="16" applyFont="1" applyBorder="1" applyAlignment="1">
      <alignment horizontal="left" vertical="center"/>
    </xf>
    <xf numFmtId="0" fontId="18" fillId="4" borderId="1" xfId="0" applyFont="1" applyFill="1" applyBorder="1" applyAlignment="1">
      <alignment horizontal="center" vertical="center"/>
    </xf>
    <xf numFmtId="0" fontId="18" fillId="4" borderId="1" xfId="0" applyFont="1" applyFill="1" applyBorder="1" applyAlignment="1">
      <alignment horizontal="left" vertical="center"/>
    </xf>
    <xf numFmtId="0" fontId="18" fillId="4" borderId="1" xfId="0" applyFont="1" applyFill="1" applyBorder="1" applyAlignment="1">
      <alignment horizontal="center" vertical="center"/>
    </xf>
    <xf numFmtId="0" fontId="18"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18" fillId="8" borderId="1" xfId="0" applyFont="1" applyFill="1" applyBorder="1" applyAlignment="1">
      <alignment horizontal="center" vertical="center"/>
    </xf>
    <xf numFmtId="0" fontId="18" fillId="9" borderId="0" xfId="0" quotePrefix="1" applyFont="1" applyFill="1" applyAlignment="1">
      <alignment vertical="center"/>
    </xf>
    <xf numFmtId="0" fontId="18" fillId="4" borderId="1" xfId="0" applyFont="1" applyFill="1" applyBorder="1" applyAlignment="1">
      <alignment vertical="center"/>
    </xf>
    <xf numFmtId="0" fontId="18" fillId="9" borderId="0" xfId="0" applyFont="1" applyFill="1" applyAlignment="1">
      <alignment vertical="center"/>
    </xf>
    <xf numFmtId="0" fontId="18" fillId="4" borderId="1" xfId="0" applyFont="1" applyFill="1" applyBorder="1" applyAlignment="1">
      <alignment horizontal="left" vertical="center"/>
    </xf>
    <xf numFmtId="0" fontId="22" fillId="3" borderId="1" xfId="0" applyFont="1" applyFill="1" applyBorder="1" applyAlignment="1">
      <alignment horizontal="left" vertical="center"/>
    </xf>
    <xf numFmtId="0" fontId="22" fillId="4" borderId="13" xfId="0" applyFont="1" applyFill="1" applyBorder="1" applyAlignment="1">
      <alignment horizontal="center" vertical="center"/>
    </xf>
    <xf numFmtId="0" fontId="22" fillId="3" borderId="13" xfId="0" applyFont="1" applyFill="1" applyBorder="1" applyAlignment="1">
      <alignment horizontal="left" vertical="center"/>
    </xf>
    <xf numFmtId="0" fontId="22" fillId="4" borderId="7" xfId="0" applyFont="1" applyFill="1" applyBorder="1" applyAlignment="1">
      <alignment horizontal="center" vertical="center"/>
    </xf>
    <xf numFmtId="0" fontId="6" fillId="8" borderId="1" xfId="0" applyFont="1" applyFill="1" applyBorder="1" applyAlignment="1">
      <alignment horizontal="left" vertical="center"/>
    </xf>
    <xf numFmtId="0" fontId="18" fillId="4" borderId="8" xfId="0" applyFont="1" applyFill="1" applyBorder="1" applyAlignment="1">
      <alignment vertical="center"/>
    </xf>
    <xf numFmtId="0" fontId="12" fillId="9" borderId="0" xfId="0" applyFont="1" applyFill="1" applyAlignment="1">
      <alignment vertical="center"/>
    </xf>
    <xf numFmtId="0" fontId="6" fillId="9" borderId="0" xfId="0" applyFont="1" applyFill="1" applyAlignment="1">
      <alignment vertical="center"/>
    </xf>
    <xf numFmtId="0" fontId="18" fillId="3" borderId="0" xfId="0" applyFont="1" applyFill="1" applyAlignment="1">
      <alignment vertical="center"/>
    </xf>
    <xf numFmtId="0" fontId="18" fillId="7" borderId="1" xfId="0" applyFont="1" applyFill="1" applyBorder="1" applyAlignment="1">
      <alignment horizontal="center" vertical="center"/>
    </xf>
    <xf numFmtId="164" fontId="18" fillId="7" borderId="1" xfId="0" applyNumberFormat="1" applyFont="1" applyFill="1" applyBorder="1" applyAlignment="1" applyProtection="1">
      <alignment vertical="center"/>
      <protection locked="0"/>
    </xf>
    <xf numFmtId="0" fontId="12" fillId="9" borderId="0" xfId="0" applyFont="1" applyFill="1" applyAlignment="1">
      <alignment vertical="center" wrapText="1"/>
    </xf>
    <xf numFmtId="0" fontId="18" fillId="4" borderId="25" xfId="0" applyFont="1" applyFill="1" applyBorder="1" applyAlignment="1">
      <alignment horizontal="center" vertical="center"/>
    </xf>
    <xf numFmtId="0" fontId="18" fillId="4" borderId="1" xfId="0" quotePrefix="1" applyFont="1" applyFill="1" applyBorder="1" applyAlignment="1">
      <alignment vertical="center"/>
    </xf>
    <xf numFmtId="0" fontId="18" fillId="8" borderId="1" xfId="0" applyFont="1" applyFill="1" applyBorder="1" applyAlignment="1">
      <alignment horizontal="center" vertical="center"/>
    </xf>
    <xf numFmtId="0" fontId="6" fillId="8" borderId="13" xfId="0" applyFont="1" applyFill="1" applyBorder="1" applyAlignment="1">
      <alignment horizontal="left" vertical="center"/>
    </xf>
    <xf numFmtId="0" fontId="26" fillId="9" borderId="0" xfId="0" applyFont="1" applyFill="1" applyBorder="1" applyAlignment="1">
      <alignment vertical="center" wrapText="1"/>
    </xf>
    <xf numFmtId="0" fontId="18" fillId="4" borderId="1" xfId="0" applyFont="1" applyFill="1" applyBorder="1" applyAlignment="1">
      <alignment horizontal="left" vertical="center" wrapText="1"/>
    </xf>
    <xf numFmtId="0" fontId="18" fillId="4" borderId="13" xfId="0" applyFont="1" applyFill="1" applyBorder="1" applyAlignment="1">
      <alignment horizontal="left" vertical="center"/>
    </xf>
    <xf numFmtId="0" fontId="18" fillId="4" borderId="13" xfId="0" applyFont="1" applyFill="1" applyBorder="1" applyAlignment="1">
      <alignment horizontal="left" vertical="center" wrapText="1"/>
    </xf>
    <xf numFmtId="0" fontId="18" fillId="7" borderId="1" xfId="0" applyFont="1" applyFill="1" applyBorder="1" applyAlignment="1">
      <alignment horizontal="center" vertical="center"/>
    </xf>
    <xf numFmtId="0" fontId="18" fillId="9" borderId="1" xfId="0" applyFont="1" applyFill="1" applyBorder="1" applyAlignment="1">
      <alignment horizontal="center" vertical="center"/>
    </xf>
    <xf numFmtId="0" fontId="6" fillId="7" borderId="1" xfId="0" applyFont="1" applyFill="1" applyBorder="1" applyAlignment="1" applyProtection="1">
      <alignment horizontal="center" vertical="center"/>
      <protection locked="0"/>
    </xf>
    <xf numFmtId="0" fontId="6" fillId="7" borderId="1" xfId="0" applyFont="1" applyFill="1" applyBorder="1" applyAlignment="1">
      <alignment horizontal="center" vertical="center"/>
    </xf>
    <xf numFmtId="0" fontId="24" fillId="9" borderId="0" xfId="0" applyFont="1" applyFill="1" applyAlignment="1">
      <alignment vertical="center"/>
    </xf>
    <xf numFmtId="0" fontId="29" fillId="9" borderId="0" xfId="0" applyFont="1" applyFill="1" applyAlignment="1">
      <alignment vertical="center"/>
    </xf>
    <xf numFmtId="0" fontId="30" fillId="9" borderId="0" xfId="0" applyFont="1" applyFill="1" applyAlignment="1">
      <alignment vertical="center"/>
    </xf>
    <xf numFmtId="2" fontId="18" fillId="7" borderId="1" xfId="0" applyNumberFormat="1" applyFont="1" applyFill="1" applyBorder="1" applyAlignment="1" applyProtection="1">
      <alignment horizontal="center" vertical="center"/>
      <protection locked="0"/>
    </xf>
    <xf numFmtId="2" fontId="18" fillId="7" borderId="8" xfId="0" applyNumberFormat="1" applyFont="1" applyFill="1" applyBorder="1" applyAlignment="1" applyProtection="1">
      <alignment horizontal="center" vertical="center"/>
      <protection locked="0"/>
    </xf>
    <xf numFmtId="2" fontId="18" fillId="7" borderId="7" xfId="0" applyNumberFormat="1" applyFont="1" applyFill="1" applyBorder="1" applyAlignment="1" applyProtection="1">
      <alignment horizontal="center" vertical="center"/>
      <protection locked="0"/>
    </xf>
    <xf numFmtId="0" fontId="18" fillId="9" borderId="7" xfId="0" applyFont="1" applyFill="1" applyBorder="1" applyAlignment="1">
      <alignment horizontal="center" vertical="center"/>
    </xf>
    <xf numFmtId="0" fontId="24" fillId="4" borderId="0" xfId="0" applyFont="1" applyFill="1" applyAlignment="1">
      <alignment vertical="center"/>
    </xf>
    <xf numFmtId="0" fontId="31" fillId="9" borderId="0" xfId="0" quotePrefix="1" applyFont="1" applyFill="1" applyAlignment="1">
      <alignment vertical="center"/>
    </xf>
    <xf numFmtId="2" fontId="18" fillId="7" borderId="28" xfId="0" applyNumberFormat="1" applyFont="1" applyFill="1" applyBorder="1" applyAlignment="1" applyProtection="1">
      <alignment horizontal="center" vertical="center"/>
      <protection locked="0"/>
    </xf>
    <xf numFmtId="2" fontId="18" fillId="7" borderId="23" xfId="0" applyNumberFormat="1" applyFont="1" applyFill="1" applyBorder="1" applyAlignment="1" applyProtection="1">
      <alignment horizontal="center" vertical="center"/>
      <protection locked="0"/>
    </xf>
    <xf numFmtId="166" fontId="18" fillId="7" borderId="26" xfId="0" applyNumberFormat="1" applyFont="1" applyFill="1" applyBorder="1" applyAlignment="1" applyProtection="1">
      <alignment horizontal="center" vertical="center"/>
      <protection locked="0"/>
    </xf>
    <xf numFmtId="166" fontId="18" fillId="7" borderId="22" xfId="0" applyNumberFormat="1" applyFont="1" applyFill="1" applyBorder="1" applyAlignment="1" applyProtection="1">
      <alignment horizontal="center" vertical="center"/>
      <protection locked="0"/>
    </xf>
    <xf numFmtId="0" fontId="18" fillId="9" borderId="7" xfId="0" quotePrefix="1" applyFont="1" applyFill="1" applyBorder="1" applyAlignment="1">
      <alignment horizontal="center" vertical="center"/>
    </xf>
    <xf numFmtId="0" fontId="18" fillId="9" borderId="8" xfId="0" quotePrefix="1" applyFont="1" applyFill="1" applyBorder="1" applyAlignment="1">
      <alignment horizontal="center" vertical="center"/>
    </xf>
    <xf numFmtId="0" fontId="18" fillId="4" borderId="24" xfId="0" applyFont="1" applyFill="1" applyBorder="1" applyAlignment="1">
      <alignment horizontal="center" vertical="center"/>
    </xf>
    <xf numFmtId="0" fontId="18" fillId="3" borderId="9" xfId="0" applyFont="1" applyFill="1" applyBorder="1" applyAlignment="1">
      <alignment vertical="center"/>
    </xf>
    <xf numFmtId="0" fontId="18" fillId="3" borderId="7" xfId="0" applyFont="1" applyFill="1" applyBorder="1" applyAlignment="1">
      <alignment horizontal="center" vertical="center"/>
    </xf>
    <xf numFmtId="0" fontId="24" fillId="4" borderId="0" xfId="0" applyFont="1" applyFill="1" applyBorder="1" applyAlignment="1">
      <alignment vertical="center" wrapText="1"/>
    </xf>
    <xf numFmtId="0" fontId="24" fillId="4" borderId="0" xfId="0" applyFont="1" applyFill="1" applyBorder="1" applyAlignment="1">
      <alignment vertical="center"/>
    </xf>
    <xf numFmtId="0" fontId="24" fillId="3" borderId="0" xfId="0" applyFont="1" applyFill="1" applyBorder="1" applyAlignment="1">
      <alignment vertical="center" wrapText="1"/>
    </xf>
    <xf numFmtId="0" fontId="24" fillId="3" borderId="0" xfId="0" applyFont="1" applyFill="1" applyBorder="1" applyAlignment="1">
      <alignment vertical="center"/>
    </xf>
    <xf numFmtId="0" fontId="9" fillId="3" borderId="1" xfId="0" applyFont="1" applyFill="1" applyBorder="1" applyAlignment="1">
      <alignment horizontal="left" vertical="center" wrapText="1"/>
    </xf>
    <xf numFmtId="0" fontId="18" fillId="7" borderId="1" xfId="0" applyFont="1" applyFill="1" applyBorder="1" applyAlignment="1" applyProtection="1">
      <alignment horizontal="center" vertical="center"/>
      <protection locked="0"/>
    </xf>
    <xf numFmtId="0" fontId="18" fillId="8" borderId="1" xfId="0" applyFont="1" applyFill="1" applyBorder="1" applyAlignment="1">
      <alignment horizontal="center" vertical="center" wrapText="1"/>
    </xf>
    <xf numFmtId="166" fontId="18" fillId="7" borderId="25" xfId="0" applyNumberFormat="1" applyFont="1" applyFill="1" applyBorder="1" applyAlignment="1" applyProtection="1">
      <alignment horizontal="center" vertical="center"/>
      <protection locked="0"/>
    </xf>
    <xf numFmtId="0" fontId="18" fillId="9" borderId="9" xfId="0" quotePrefix="1" applyFont="1" applyFill="1" applyBorder="1" applyAlignment="1">
      <alignment horizontal="center" vertical="center"/>
    </xf>
    <xf numFmtId="0" fontId="18" fillId="9" borderId="9" xfId="0" applyFont="1" applyFill="1" applyBorder="1" applyAlignment="1">
      <alignment horizontal="center" vertical="center"/>
    </xf>
    <xf numFmtId="0" fontId="6" fillId="4" borderId="1"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23" fillId="5"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23" fillId="5" borderId="8" xfId="0" applyFont="1" applyFill="1" applyBorder="1" applyAlignment="1">
      <alignment horizontal="center" vertical="center"/>
    </xf>
    <xf numFmtId="0" fontId="23" fillId="5" borderId="24" xfId="0" applyFont="1" applyFill="1" applyBorder="1" applyAlignment="1">
      <alignment horizontal="center" vertical="center"/>
    </xf>
    <xf numFmtId="0" fontId="23" fillId="5" borderId="1" xfId="0" applyFont="1" applyFill="1" applyBorder="1" applyAlignment="1">
      <alignment horizontal="center" vertical="center"/>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8" fillId="10" borderId="8" xfId="0" quotePrefix="1" applyFont="1" applyFill="1" applyBorder="1" applyAlignment="1">
      <alignment horizontal="center" vertical="center"/>
    </xf>
    <xf numFmtId="0" fontId="18" fillId="10" borderId="7" xfId="0" applyFont="1" applyFill="1" applyBorder="1" applyAlignment="1">
      <alignment horizontal="center" vertical="center"/>
    </xf>
    <xf numFmtId="2" fontId="18" fillId="7" borderId="25" xfId="0" applyNumberFormat="1" applyFont="1" applyFill="1" applyBorder="1" applyAlignment="1" applyProtection="1">
      <alignment horizontal="center" vertical="center"/>
      <protection locked="0"/>
    </xf>
    <xf numFmtId="0" fontId="6" fillId="4" borderId="1" xfId="0" applyFont="1" applyFill="1" applyBorder="1" applyAlignment="1">
      <alignment horizontal="center" vertical="center" wrapText="1"/>
    </xf>
    <xf numFmtId="0" fontId="31" fillId="6" borderId="1" xfId="0" applyFont="1" applyFill="1" applyBorder="1" applyAlignment="1">
      <alignment horizontal="left" vertical="center" wrapText="1"/>
    </xf>
    <xf numFmtId="0" fontId="12" fillId="4" borderId="0" xfId="0" applyFont="1" applyFill="1" applyBorder="1" applyAlignment="1">
      <alignment vertical="center"/>
    </xf>
    <xf numFmtId="0" fontId="18" fillId="4" borderId="0" xfId="0" applyFont="1" applyFill="1" applyBorder="1" applyAlignment="1">
      <alignment vertical="center"/>
    </xf>
    <xf numFmtId="0" fontId="23" fillId="5" borderId="25"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25" xfId="0" quotePrefix="1"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31" fillId="6" borderId="13" xfId="0" quotePrefix="1" applyFont="1" applyFill="1" applyBorder="1" applyAlignment="1">
      <alignment horizontal="left" vertical="center"/>
    </xf>
    <xf numFmtId="0" fontId="31" fillId="6" borderId="1" xfId="0" quotePrefix="1" applyFont="1" applyFill="1" applyBorder="1" applyAlignment="1">
      <alignment horizontal="left" vertical="center"/>
    </xf>
    <xf numFmtId="0" fontId="23" fillId="5" borderId="13" xfId="0" applyFont="1" applyFill="1" applyBorder="1" applyAlignment="1">
      <alignment horizontal="center" vertical="center"/>
    </xf>
    <xf numFmtId="0" fontId="6" fillId="4" borderId="13" xfId="0" applyFont="1" applyFill="1" applyBorder="1" applyAlignment="1">
      <alignment horizontal="center" vertical="center" wrapText="1"/>
    </xf>
    <xf numFmtId="0" fontId="12" fillId="4" borderId="18" xfId="0" applyFont="1" applyFill="1" applyBorder="1" applyAlignment="1">
      <alignment vertical="center" wrapText="1"/>
    </xf>
    <xf numFmtId="0" fontId="18" fillId="4" borderId="18" xfId="0" quotePrefix="1" applyFont="1" applyFill="1" applyBorder="1" applyAlignment="1">
      <alignment vertical="center"/>
    </xf>
    <xf numFmtId="0" fontId="22" fillId="4" borderId="0" xfId="0" applyFont="1" applyFill="1" applyBorder="1" applyAlignment="1">
      <alignment vertical="center"/>
    </xf>
    <xf numFmtId="0" fontId="18" fillId="9" borderId="13" xfId="0" applyFont="1" applyFill="1" applyBorder="1" applyAlignment="1">
      <alignment horizontal="center" vertical="center"/>
    </xf>
    <xf numFmtId="0" fontId="6" fillId="7" borderId="13" xfId="0" applyFont="1" applyFill="1" applyBorder="1" applyAlignment="1" applyProtection="1">
      <alignment horizontal="center" vertical="center"/>
      <protection locked="0"/>
    </xf>
    <xf numFmtId="0" fontId="23" fillId="5" borderId="13" xfId="0" applyFont="1" applyFill="1" applyBorder="1" applyAlignment="1">
      <alignment horizontal="left" vertical="center" wrapText="1"/>
    </xf>
    <xf numFmtId="0" fontId="34" fillId="5" borderId="14" xfId="0" quotePrefix="1" applyFont="1" applyFill="1" applyBorder="1" applyAlignment="1">
      <alignment horizontal="left" vertical="center" wrapText="1"/>
    </xf>
    <xf numFmtId="0" fontId="34" fillId="5" borderId="12" xfId="0" quotePrefix="1"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18" fillId="3" borderId="11" xfId="0" applyFont="1" applyFill="1" applyBorder="1" applyAlignment="1">
      <alignment vertical="center" textRotation="90" wrapText="1"/>
    </xf>
    <xf numFmtId="0" fontId="24" fillId="9" borderId="12" xfId="0" quotePrefix="1" applyFont="1" applyFill="1" applyBorder="1" applyAlignment="1">
      <alignment vertical="center"/>
    </xf>
    <xf numFmtId="0" fontId="6" fillId="4" borderId="16" xfId="0" applyFont="1" applyFill="1" applyBorder="1" applyAlignment="1">
      <alignment horizontal="left" vertical="center" wrapText="1"/>
    </xf>
    <xf numFmtId="0" fontId="24" fillId="4" borderId="18" xfId="0" applyFont="1" applyFill="1" applyBorder="1" applyAlignment="1">
      <alignment vertical="center" wrapText="1"/>
    </xf>
    <xf numFmtId="0" fontId="24" fillId="4" borderId="18" xfId="0" applyFont="1" applyFill="1" applyBorder="1" applyAlignment="1">
      <alignment vertical="center"/>
    </xf>
    <xf numFmtId="0" fontId="18" fillId="4" borderId="18" xfId="0" applyFont="1" applyFill="1" applyBorder="1" applyAlignment="1">
      <alignment vertical="center"/>
    </xf>
    <xf numFmtId="0" fontId="6" fillId="4" borderId="0" xfId="0" applyFont="1" applyFill="1" applyBorder="1" applyAlignment="1">
      <alignment vertical="center"/>
    </xf>
    <xf numFmtId="0" fontId="6" fillId="4" borderId="18" xfId="0" applyFont="1" applyFill="1" applyBorder="1" applyAlignment="1">
      <alignment vertical="center"/>
    </xf>
    <xf numFmtId="0" fontId="24" fillId="4" borderId="0" xfId="0" quotePrefix="1" applyFont="1" applyFill="1" applyBorder="1" applyAlignment="1">
      <alignment vertical="center" wrapText="1"/>
    </xf>
    <xf numFmtId="0" fontId="24" fillId="4" borderId="18" xfId="0" quotePrefix="1" applyFont="1" applyFill="1" applyBorder="1" applyAlignment="1">
      <alignment vertical="center" wrapText="1"/>
    </xf>
    <xf numFmtId="0" fontId="18" fillId="4" borderId="19" xfId="0" applyFont="1" applyFill="1" applyBorder="1" applyAlignment="1">
      <alignment vertical="center"/>
    </xf>
    <xf numFmtId="0" fontId="18" fillId="4" borderId="5" xfId="0" applyFont="1" applyFill="1" applyBorder="1" applyAlignment="1">
      <alignment vertical="center"/>
    </xf>
    <xf numFmtId="0" fontId="24" fillId="12" borderId="14" xfId="0" applyFont="1" applyFill="1" applyBorder="1" applyAlignment="1">
      <alignment vertical="center"/>
    </xf>
    <xf numFmtId="0" fontId="24" fillId="12" borderId="13" xfId="0" applyFont="1" applyFill="1" applyBorder="1" applyAlignment="1">
      <alignment horizontal="left" vertical="center" wrapText="1"/>
    </xf>
    <xf numFmtId="0" fontId="24" fillId="12" borderId="1" xfId="0" applyFont="1" applyFill="1" applyBorder="1" applyAlignment="1">
      <alignment horizontal="left" vertical="center" wrapText="1"/>
    </xf>
    <xf numFmtId="0" fontId="24" fillId="12" borderId="13" xfId="0" quotePrefix="1" applyFont="1" applyFill="1" applyBorder="1" applyAlignment="1">
      <alignment horizontal="left" vertical="center" wrapText="1"/>
    </xf>
    <xf numFmtId="0" fontId="24" fillId="12" borderId="1" xfId="0" quotePrefix="1" applyFont="1" applyFill="1" applyBorder="1" applyAlignment="1">
      <alignment horizontal="left" vertical="center" wrapText="1"/>
    </xf>
    <xf numFmtId="0" fontId="24" fillId="12" borderId="1" xfId="0" applyFont="1" applyFill="1" applyBorder="1" applyAlignment="1">
      <alignment horizontal="center" vertical="center"/>
    </xf>
    <xf numFmtId="0" fontId="23" fillId="5" borderId="1" xfId="0" applyFont="1" applyFill="1" applyBorder="1" applyAlignment="1">
      <alignment horizontal="left" vertical="center"/>
    </xf>
    <xf numFmtId="1" fontId="18" fillId="9" borderId="1" xfId="0" applyNumberFormat="1" applyFont="1" applyFill="1" applyBorder="1" applyAlignment="1">
      <alignment horizontal="center" vertical="center"/>
    </xf>
    <xf numFmtId="2" fontId="18" fillId="8" borderId="1" xfId="0" applyNumberFormat="1" applyFont="1" applyFill="1" applyBorder="1" applyAlignment="1">
      <alignment horizontal="center" vertical="center"/>
    </xf>
    <xf numFmtId="1" fontId="18" fillId="8" borderId="1" xfId="0" applyNumberFormat="1" applyFont="1" applyFill="1" applyBorder="1" applyAlignment="1">
      <alignment horizontal="center" vertical="center"/>
    </xf>
    <xf numFmtId="1" fontId="18" fillId="8" borderId="1" xfId="0" applyNumberFormat="1" applyFont="1" applyFill="1" applyBorder="1" applyAlignment="1">
      <alignment horizontal="center" vertical="center"/>
    </xf>
    <xf numFmtId="2" fontId="18" fillId="8" borderId="1" xfId="0" applyNumberFormat="1" applyFont="1" applyFill="1" applyBorder="1" applyAlignment="1">
      <alignment horizontal="center" vertical="center"/>
    </xf>
    <xf numFmtId="0" fontId="18" fillId="4" borderId="0" xfId="0" applyFont="1" applyFill="1" applyAlignment="1">
      <alignment vertical="center"/>
    </xf>
    <xf numFmtId="0" fontId="23" fillId="5" borderId="13" xfId="0" applyFont="1" applyFill="1" applyBorder="1" applyAlignment="1">
      <alignment horizontal="left" vertical="center"/>
    </xf>
    <xf numFmtId="0" fontId="9" fillId="4" borderId="0" xfId="0" applyFont="1" applyFill="1" applyBorder="1" applyAlignment="1">
      <alignment vertical="center"/>
    </xf>
    <xf numFmtId="0" fontId="18" fillId="4" borderId="16" xfId="0" applyFont="1" applyFill="1" applyBorder="1" applyAlignment="1">
      <alignment horizontal="left" vertical="center" wrapText="1"/>
    </xf>
    <xf numFmtId="0" fontId="18" fillId="4" borderId="25" xfId="0" applyFont="1" applyFill="1" applyBorder="1" applyAlignment="1">
      <alignment horizontal="left" vertical="center" wrapText="1"/>
    </xf>
    <xf numFmtId="0" fontId="18" fillId="7" borderId="25" xfId="0" applyFont="1" applyFill="1" applyBorder="1" applyAlignment="1" applyProtection="1">
      <alignment horizontal="center" vertical="center"/>
      <protection locked="0"/>
    </xf>
    <xf numFmtId="0" fontId="24" fillId="12" borderId="1" xfId="0" applyFont="1" applyFill="1" applyBorder="1" applyAlignment="1">
      <alignment horizontal="left" vertical="center"/>
    </xf>
    <xf numFmtId="0" fontId="24" fillId="12" borderId="13" xfId="0" applyFont="1" applyFill="1" applyBorder="1" applyAlignment="1">
      <alignment horizontal="left" vertical="center"/>
    </xf>
    <xf numFmtId="0" fontId="31" fillId="6" borderId="13" xfId="0" applyFont="1" applyFill="1" applyBorder="1" applyAlignment="1">
      <alignment horizontal="left" vertical="center" wrapText="1"/>
    </xf>
    <xf numFmtId="0" fontId="31" fillId="6" borderId="16" xfId="0" applyFont="1" applyFill="1" applyBorder="1" applyAlignment="1">
      <alignment horizontal="left" vertical="center" wrapText="1"/>
    </xf>
    <xf numFmtId="0" fontId="31" fillId="6" borderId="25" xfId="0" applyFont="1" applyFill="1" applyBorder="1" applyAlignment="1">
      <alignment horizontal="left" vertical="center" wrapText="1"/>
    </xf>
    <xf numFmtId="0" fontId="6" fillId="4" borderId="13"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7"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23" fillId="4" borderId="0" xfId="0" applyFont="1" applyFill="1" applyBorder="1" applyAlignment="1">
      <alignment horizontal="center" vertical="center"/>
    </xf>
    <xf numFmtId="0" fontId="23" fillId="4" borderId="0" xfId="0" applyFont="1" applyFill="1" applyBorder="1" applyAlignment="1">
      <alignment horizontal="center" vertical="center"/>
    </xf>
    <xf numFmtId="2" fontId="23" fillId="4" borderId="0" xfId="0" applyNumberFormat="1" applyFont="1" applyFill="1" applyBorder="1" applyAlignment="1">
      <alignment horizontal="center" vertical="center"/>
    </xf>
    <xf numFmtId="0" fontId="26" fillId="4" borderId="0" xfId="0" applyFont="1" applyFill="1" applyBorder="1" applyAlignment="1">
      <alignment vertical="center" wrapText="1"/>
    </xf>
    <xf numFmtId="0" fontId="26" fillId="4" borderId="18" xfId="0" applyFont="1" applyFill="1" applyBorder="1" applyAlignment="1">
      <alignment vertical="center" wrapText="1"/>
    </xf>
    <xf numFmtId="0" fontId="12" fillId="4" borderId="18" xfId="0" quotePrefix="1" applyFont="1" applyFill="1" applyBorder="1" applyAlignment="1">
      <alignment vertical="center"/>
    </xf>
    <xf numFmtId="0" fontId="22" fillId="4" borderId="0" xfId="0" applyFont="1" applyFill="1" applyBorder="1" applyAlignment="1">
      <alignment vertical="center" wrapText="1"/>
    </xf>
    <xf numFmtId="0" fontId="12" fillId="4" borderId="18" xfId="0" applyFont="1" applyFill="1" applyBorder="1" applyAlignment="1">
      <alignment vertical="center"/>
    </xf>
    <xf numFmtId="0" fontId="23" fillId="4" borderId="0" xfId="0" applyFont="1" applyFill="1" applyBorder="1"/>
    <xf numFmtId="0" fontId="23" fillId="4" borderId="0" xfId="0" applyFont="1" applyFill="1" applyBorder="1" applyAlignment="1">
      <alignment vertical="center"/>
    </xf>
    <xf numFmtId="0" fontId="38" fillId="5" borderId="2" xfId="0" applyFont="1" applyFill="1" applyBorder="1" applyAlignment="1">
      <alignment horizontal="center" vertical="center" wrapText="1"/>
    </xf>
    <xf numFmtId="0" fontId="38" fillId="5" borderId="20" xfId="0" applyFont="1" applyFill="1" applyBorder="1" applyAlignment="1">
      <alignment horizontal="center" vertical="center" wrapText="1"/>
    </xf>
    <xf numFmtId="0" fontId="38" fillId="5" borderId="21" xfId="0" applyFont="1" applyFill="1" applyBorder="1" applyAlignment="1">
      <alignment horizontal="center" vertical="center" wrapText="1"/>
    </xf>
    <xf numFmtId="0" fontId="20" fillId="12" borderId="1" xfId="0" applyFont="1" applyFill="1" applyBorder="1" applyAlignment="1">
      <alignment horizontal="left" vertical="center" wrapText="1"/>
    </xf>
    <xf numFmtId="0" fontId="20" fillId="12" borderId="13" xfId="0" applyFont="1" applyFill="1" applyBorder="1" applyAlignment="1">
      <alignment horizontal="left" vertical="center" wrapText="1"/>
    </xf>
    <xf numFmtId="0" fontId="20" fillId="12" borderId="14" xfId="0" applyFont="1" applyFill="1" applyBorder="1" applyAlignment="1">
      <alignment horizontal="left" vertical="center" wrapText="1"/>
    </xf>
    <xf numFmtId="2" fontId="6" fillId="4" borderId="1" xfId="0" applyNumberFormat="1" applyFont="1" applyFill="1" applyBorder="1" applyAlignment="1">
      <alignment horizontal="center" vertical="center"/>
    </xf>
    <xf numFmtId="0" fontId="23" fillId="5" borderId="16" xfId="0" applyFont="1" applyFill="1" applyBorder="1" applyAlignment="1">
      <alignment horizontal="center" vertical="center"/>
    </xf>
    <xf numFmtId="0" fontId="20" fillId="11" borderId="1" xfId="0" applyFont="1" applyFill="1" applyBorder="1" applyAlignment="1">
      <alignment horizontal="left" vertical="center"/>
    </xf>
    <xf numFmtId="164" fontId="18" fillId="7" borderId="24" xfId="0" applyNumberFormat="1" applyFont="1" applyFill="1" applyBorder="1" applyAlignment="1" applyProtection="1">
      <alignment vertical="center"/>
      <protection locked="0"/>
    </xf>
    <xf numFmtId="0" fontId="22" fillId="4" borderId="24" xfId="0" applyFont="1" applyFill="1" applyBorder="1" applyAlignment="1">
      <alignment horizontal="center" vertical="center"/>
    </xf>
    <xf numFmtId="0" fontId="20" fillId="11" borderId="25" xfId="0" applyFont="1" applyFill="1" applyBorder="1" applyAlignment="1">
      <alignment horizontal="left" vertical="center" wrapText="1"/>
    </xf>
    <xf numFmtId="0" fontId="20" fillId="11" borderId="13" xfId="0" applyFont="1" applyFill="1" applyBorder="1" applyAlignment="1">
      <alignment horizontal="left" vertical="center"/>
    </xf>
    <xf numFmtId="0" fontId="20" fillId="11" borderId="16" xfId="0" applyFont="1" applyFill="1" applyBorder="1" applyAlignment="1">
      <alignment horizontal="left" vertical="center" wrapText="1"/>
    </xf>
    <xf numFmtId="2" fontId="6" fillId="4" borderId="17" xfId="0" applyNumberFormat="1" applyFont="1" applyFill="1" applyBorder="1" applyAlignment="1">
      <alignment horizontal="center" vertical="center"/>
    </xf>
    <xf numFmtId="0" fontId="24" fillId="12" borderId="24" xfId="0" quotePrefix="1" applyFont="1" applyFill="1" applyBorder="1" applyAlignment="1">
      <alignment horizontal="left" vertical="center" wrapText="1"/>
    </xf>
    <xf numFmtId="0" fontId="24" fillId="4" borderId="0" xfId="0" applyFont="1" applyFill="1" applyBorder="1" applyAlignment="1">
      <alignment horizontal="left" vertical="center" wrapText="1"/>
    </xf>
    <xf numFmtId="1" fontId="18" fillId="7" borderId="25" xfId="0" applyNumberFormat="1" applyFont="1" applyFill="1" applyBorder="1" applyAlignment="1" applyProtection="1">
      <alignment vertical="center"/>
      <protection locked="0"/>
    </xf>
    <xf numFmtId="0" fontId="22" fillId="4" borderId="25" xfId="0" applyFont="1" applyFill="1" applyBorder="1" applyAlignment="1">
      <alignment horizontal="center" vertical="center"/>
    </xf>
    <xf numFmtId="0" fontId="22" fillId="3" borderId="1" xfId="0" applyFont="1" applyFill="1" applyBorder="1" applyAlignment="1">
      <alignment horizontal="center" vertical="center"/>
    </xf>
    <xf numFmtId="0" fontId="18" fillId="4" borderId="25" xfId="0" applyFont="1" applyFill="1" applyBorder="1" applyAlignment="1">
      <alignment vertical="center"/>
    </xf>
    <xf numFmtId="0" fontId="18" fillId="3" borderId="9" xfId="0" applyFont="1" applyFill="1" applyBorder="1" applyAlignment="1">
      <alignment horizontal="center" vertical="center"/>
    </xf>
    <xf numFmtId="0" fontId="18" fillId="4" borderId="0" xfId="0" applyFont="1" applyFill="1" applyAlignment="1">
      <alignment horizontal="center" vertical="center"/>
    </xf>
    <xf numFmtId="0" fontId="23" fillId="4" borderId="0" xfId="0" applyFont="1" applyFill="1" applyAlignment="1">
      <alignment vertical="center"/>
    </xf>
    <xf numFmtId="164" fontId="18" fillId="4" borderId="0" xfId="0" applyNumberFormat="1" applyFont="1" applyFill="1" applyAlignment="1">
      <alignment horizontal="center" vertical="center"/>
    </xf>
    <xf numFmtId="1" fontId="18" fillId="4" borderId="0" xfId="0" applyNumberFormat="1" applyFont="1" applyFill="1" applyAlignment="1">
      <alignment horizontal="center" vertical="center"/>
    </xf>
    <xf numFmtId="0" fontId="6" fillId="4" borderId="0" xfId="0" applyFont="1" applyFill="1" applyAlignment="1">
      <alignment vertical="center"/>
    </xf>
    <xf numFmtId="2" fontId="9" fillId="4" borderId="0" xfId="0" applyNumberFormat="1" applyFont="1" applyFill="1" applyAlignment="1">
      <alignment horizontal="center" vertical="center"/>
    </xf>
    <xf numFmtId="0" fontId="22" fillId="4" borderId="10" xfId="0" applyFont="1" applyFill="1" applyBorder="1" applyAlignment="1">
      <alignment vertical="center"/>
    </xf>
    <xf numFmtId="0" fontId="22" fillId="4" borderId="0" xfId="0" applyFont="1" applyFill="1" applyAlignment="1">
      <alignment vertical="center"/>
    </xf>
    <xf numFmtId="0" fontId="22" fillId="4" borderId="0" xfId="0" applyFont="1" applyFill="1" applyAlignment="1">
      <alignment horizontal="center" vertical="center"/>
    </xf>
    <xf numFmtId="165" fontId="18" fillId="4" borderId="1" xfId="1" applyNumberFormat="1" applyFont="1" applyFill="1" applyBorder="1" applyAlignment="1" applyProtection="1">
      <alignment horizontal="center" vertical="center"/>
    </xf>
    <xf numFmtId="0" fontId="6" fillId="4" borderId="1" xfId="0" applyFont="1" applyFill="1" applyBorder="1" applyAlignment="1">
      <alignment horizontal="center" vertical="center"/>
    </xf>
    <xf numFmtId="165" fontId="6" fillId="4" borderId="1" xfId="1" applyNumberFormat="1" applyFont="1" applyFill="1" applyBorder="1" applyAlignment="1" applyProtection="1">
      <alignment horizontal="center" vertical="center"/>
    </xf>
    <xf numFmtId="2" fontId="18" fillId="4" borderId="1" xfId="0" applyNumberFormat="1" applyFont="1" applyFill="1" applyBorder="1" applyAlignment="1">
      <alignment horizontal="center" vertical="center"/>
    </xf>
    <xf numFmtId="1" fontId="18" fillId="4" borderId="1" xfId="0" applyNumberFormat="1" applyFont="1" applyFill="1" applyBorder="1" applyAlignment="1">
      <alignment horizontal="center" vertical="center"/>
    </xf>
    <xf numFmtId="2" fontId="18" fillId="4" borderId="1" xfId="0" applyNumberFormat="1" applyFont="1" applyFill="1" applyBorder="1" applyAlignment="1">
      <alignment horizontal="center" vertical="center" wrapText="1"/>
    </xf>
    <xf numFmtId="164" fontId="6" fillId="4" borderId="0" xfId="0" applyNumberFormat="1" applyFont="1" applyFill="1" applyAlignment="1">
      <alignment vertical="center"/>
    </xf>
    <xf numFmtId="0" fontId="18" fillId="12" borderId="1" xfId="0" applyFont="1" applyFill="1" applyBorder="1" applyAlignment="1">
      <alignment horizontal="center" vertical="center"/>
    </xf>
    <xf numFmtId="0" fontId="18" fillId="11" borderId="1" xfId="0" applyFont="1" applyFill="1" applyBorder="1" applyAlignment="1">
      <alignment horizontal="center" vertical="center"/>
    </xf>
    <xf numFmtId="0" fontId="18" fillId="11" borderId="8" xfId="0" applyFont="1" applyFill="1" applyBorder="1" applyAlignment="1">
      <alignment horizontal="center" vertical="center"/>
    </xf>
    <xf numFmtId="0" fontId="18" fillId="11" borderId="9" xfId="0" applyFont="1" applyFill="1" applyBorder="1" applyAlignment="1">
      <alignment horizontal="center" vertical="center"/>
    </xf>
    <xf numFmtId="0" fontId="18" fillId="11" borderId="7" xfId="0" applyFont="1" applyFill="1" applyBorder="1" applyAlignment="1">
      <alignment horizontal="center" vertical="center"/>
    </xf>
    <xf numFmtId="164" fontId="18" fillId="4" borderId="1" xfId="0" applyNumberFormat="1" applyFont="1" applyFill="1" applyBorder="1" applyAlignment="1">
      <alignment horizontal="center" vertical="center"/>
    </xf>
    <xf numFmtId="0" fontId="22" fillId="4" borderId="6" xfId="0" applyFont="1" applyFill="1" applyBorder="1" applyAlignment="1">
      <alignment horizontal="center" vertical="center"/>
    </xf>
    <xf numFmtId="1" fontId="22" fillId="4" borderId="6" xfId="0" applyNumberFormat="1" applyFont="1" applyFill="1" applyBorder="1" applyAlignment="1">
      <alignment horizontal="center" vertical="center"/>
    </xf>
    <xf numFmtId="2" fontId="22" fillId="4" borderId="6" xfId="0" applyNumberFormat="1" applyFont="1" applyFill="1" applyBorder="1" applyAlignment="1">
      <alignment horizontal="center" vertical="center"/>
    </xf>
    <xf numFmtId="164" fontId="22" fillId="4" borderId="6" xfId="0" applyNumberFormat="1" applyFont="1" applyFill="1" applyBorder="1" applyAlignment="1">
      <alignment horizontal="center" vertical="center"/>
    </xf>
    <xf numFmtId="0" fontId="39" fillId="4" borderId="0" xfId="0" applyFont="1" applyFill="1" applyAlignment="1">
      <alignment vertical="center"/>
    </xf>
    <xf numFmtId="0" fontId="22" fillId="4" borderId="6" xfId="0" applyFont="1" applyFill="1" applyBorder="1" applyAlignment="1">
      <alignment vertical="center"/>
    </xf>
    <xf numFmtId="0" fontId="6" fillId="11" borderId="1" xfId="0" applyFont="1" applyFill="1" applyBorder="1" applyAlignment="1">
      <alignment horizontal="center" vertical="center"/>
    </xf>
    <xf numFmtId="0" fontId="6" fillId="11" borderId="8" xfId="0" applyFont="1" applyFill="1" applyBorder="1" applyAlignment="1">
      <alignment horizontal="center" vertical="center"/>
    </xf>
    <xf numFmtId="0" fontId="6" fillId="11" borderId="7" xfId="0" applyFont="1" applyFill="1" applyBorder="1" applyAlignment="1">
      <alignment horizontal="center" vertical="center"/>
    </xf>
    <xf numFmtId="0" fontId="6" fillId="11" borderId="1" xfId="0" applyFont="1" applyFill="1" applyBorder="1" applyAlignment="1">
      <alignment horizontal="center" vertical="center" wrapText="1"/>
    </xf>
    <xf numFmtId="0" fontId="39" fillId="4" borderId="1" xfId="0" applyFont="1" applyFill="1" applyBorder="1" applyAlignment="1">
      <alignment horizontal="center" vertical="center"/>
    </xf>
    <xf numFmtId="1" fontId="39" fillId="4" borderId="1" xfId="0" applyNumberFormat="1" applyFont="1" applyFill="1" applyBorder="1" applyAlignment="1">
      <alignment horizontal="center" vertical="center"/>
    </xf>
    <xf numFmtId="1" fontId="24" fillId="4" borderId="1" xfId="0" applyNumberFormat="1" applyFont="1" applyFill="1" applyBorder="1" applyAlignment="1">
      <alignment horizontal="center" vertical="center"/>
    </xf>
    <xf numFmtId="1" fontId="24" fillId="4" borderId="24" xfId="0" applyNumberFormat="1" applyFont="1" applyFill="1" applyBorder="1" applyAlignment="1">
      <alignment horizontal="center" vertical="center"/>
    </xf>
    <xf numFmtId="0" fontId="24" fillId="4" borderId="1" xfId="0" applyFont="1" applyFill="1" applyBorder="1" applyAlignment="1">
      <alignment horizontal="center" vertical="center"/>
    </xf>
    <xf numFmtId="2" fontId="18" fillId="8" borderId="1" xfId="0" applyNumberFormat="1" applyFont="1" applyFill="1" applyBorder="1" applyAlignment="1">
      <alignment horizontal="center" vertical="center" wrapText="1"/>
    </xf>
    <xf numFmtId="0" fontId="18" fillId="5" borderId="3" xfId="0" quotePrefix="1" applyFont="1" applyFill="1" applyBorder="1" applyAlignment="1">
      <alignment horizontal="left" vertical="center" wrapText="1"/>
    </xf>
    <xf numFmtId="0" fontId="22" fillId="5" borderId="0" xfId="0" applyFont="1" applyFill="1" applyBorder="1" applyAlignment="1">
      <alignment vertical="center"/>
    </xf>
    <xf numFmtId="0" fontId="18" fillId="4" borderId="27"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9" fillId="3" borderId="13" xfId="0" applyFont="1" applyFill="1" applyBorder="1" applyAlignment="1">
      <alignment horizontal="left" vertical="center"/>
    </xf>
    <xf numFmtId="0" fontId="9" fillId="3" borderId="1" xfId="0" applyFont="1" applyFill="1" applyBorder="1" applyAlignment="1">
      <alignment horizontal="left" vertical="center"/>
    </xf>
    <xf numFmtId="0" fontId="9" fillId="3" borderId="25" xfId="0" applyFont="1" applyFill="1" applyBorder="1" applyAlignment="1">
      <alignment horizontal="left" vertical="center"/>
    </xf>
    <xf numFmtId="0" fontId="24" fillId="12" borderId="13" xfId="0" quotePrefix="1" applyFont="1" applyFill="1" applyBorder="1" applyAlignment="1">
      <alignment horizontal="left" vertical="center"/>
    </xf>
    <xf numFmtId="0" fontId="24" fillId="12" borderId="1" xfId="0" quotePrefix="1" applyFont="1" applyFill="1" applyBorder="1" applyAlignment="1">
      <alignment horizontal="left" vertical="center"/>
    </xf>
    <xf numFmtId="0" fontId="24" fillId="12" borderId="27" xfId="0" quotePrefix="1" applyFont="1" applyFill="1" applyBorder="1" applyAlignment="1">
      <alignment horizontal="left" vertical="center" wrapText="1"/>
    </xf>
    <xf numFmtId="0" fontId="39" fillId="12" borderId="1" xfId="0" applyFont="1" applyFill="1" applyBorder="1" applyAlignment="1">
      <alignment horizontal="left" vertical="center" wrapText="1"/>
    </xf>
    <xf numFmtId="0" fontId="18" fillId="3" borderId="24" xfId="0" applyFont="1" applyFill="1" applyBorder="1" applyAlignment="1">
      <alignment horizontal="center" vertical="center"/>
    </xf>
    <xf numFmtId="0" fontId="18" fillId="3" borderId="25" xfId="0" applyFont="1" applyFill="1" applyBorder="1" applyAlignment="1">
      <alignment horizontal="center" vertical="center"/>
    </xf>
    <xf numFmtId="0" fontId="18" fillId="11" borderId="1" xfId="0" applyFont="1" applyFill="1" applyBorder="1" applyAlignment="1">
      <alignment horizontal="center" vertical="center" wrapText="1"/>
    </xf>
    <xf numFmtId="0" fontId="6" fillId="4" borderId="0" xfId="0" applyFont="1" applyFill="1" applyAlignment="1">
      <alignment horizontal="center" vertical="center"/>
    </xf>
    <xf numFmtId="1" fontId="6" fillId="4" borderId="1" xfId="0" applyNumberFormat="1" applyFont="1" applyFill="1" applyBorder="1" applyAlignment="1">
      <alignment horizontal="center" vertical="center"/>
    </xf>
    <xf numFmtId="1" fontId="18" fillId="4" borderId="24" xfId="0" applyNumberFormat="1" applyFont="1" applyFill="1" applyBorder="1" applyAlignment="1">
      <alignment horizontal="center" vertical="center"/>
    </xf>
    <xf numFmtId="0" fontId="22" fillId="3" borderId="1" xfId="0" applyFont="1" applyFill="1" applyBorder="1" applyAlignment="1">
      <alignment horizontal="left" vertical="center" wrapText="1"/>
    </xf>
    <xf numFmtId="165" fontId="18" fillId="4" borderId="1" xfId="1" applyNumberFormat="1" applyFont="1" applyFill="1" applyBorder="1" applyAlignment="1" applyProtection="1">
      <alignment vertical="center"/>
    </xf>
    <xf numFmtId="0" fontId="18" fillId="3" borderId="8" xfId="0" applyFont="1" applyFill="1" applyBorder="1" applyAlignment="1">
      <alignment horizontal="center" vertical="center"/>
    </xf>
    <xf numFmtId="0" fontId="18" fillId="3" borderId="7" xfId="0" applyFont="1" applyFill="1" applyBorder="1" applyAlignment="1">
      <alignment horizontal="center" vertical="center"/>
    </xf>
    <xf numFmtId="0" fontId="18" fillId="4" borderId="0" xfId="0" applyFont="1" applyFill="1" applyAlignment="1">
      <alignment horizontal="center" vertical="center" wrapText="1"/>
    </xf>
    <xf numFmtId="0" fontId="22" fillId="3" borderId="24" xfId="0" applyFont="1" applyFill="1" applyBorder="1" applyAlignment="1">
      <alignment horizontal="center" vertical="center"/>
    </xf>
    <xf numFmtId="0" fontId="22" fillId="3" borderId="25" xfId="0" applyFont="1" applyFill="1" applyBorder="1" applyAlignment="1">
      <alignment horizontal="center" vertical="center"/>
    </xf>
    <xf numFmtId="0" fontId="41" fillId="4" borderId="0" xfId="0" applyFont="1" applyFill="1" applyAlignment="1">
      <alignment vertical="center"/>
    </xf>
    <xf numFmtId="0" fontId="18" fillId="0" borderId="0" xfId="0" applyFont="1" applyFill="1" applyAlignment="1">
      <alignment vertical="center"/>
    </xf>
    <xf numFmtId="0" fontId="18" fillId="0" borderId="0" xfId="0" applyFont="1" applyFill="1"/>
    <xf numFmtId="0" fontId="18" fillId="0" borderId="1" xfId="0" applyFont="1" applyFill="1" applyBorder="1"/>
    <xf numFmtId="0" fontId="23" fillId="5" borderId="1" xfId="0" applyFont="1" applyFill="1" applyBorder="1"/>
  </cellXfs>
  <cellStyles count="18">
    <cellStyle name="Followed Hyperlink" xfId="6" builtinId="9" hidden="1"/>
    <cellStyle name="Followed Hyperlink" xfId="8" builtinId="9" hidden="1"/>
    <cellStyle name="Followed Hyperlink" xfId="10" builtinId="9" hidden="1"/>
    <cellStyle name="Followed Hyperlink" xfId="14" builtinId="9" hidden="1"/>
    <cellStyle name="Hyperlink" xfId="5" builtinId="8" hidden="1"/>
    <cellStyle name="Hyperlink" xfId="7" builtinId="8" hidden="1"/>
    <cellStyle name="Hyperlink" xfId="9" builtinId="8" hidden="1"/>
    <cellStyle name="Hyperlink" xfId="13" builtinId="8" hidden="1"/>
    <cellStyle name="Hyperlink" xfId="17" builtinId="8"/>
    <cellStyle name="Normal" xfId="0" builtinId="0"/>
    <cellStyle name="Normal 2" xfId="2" xr:uid="{00000000-0005-0000-0000-000009000000}"/>
    <cellStyle name="Normal 2 2" xfId="3" xr:uid="{00000000-0005-0000-0000-00000A000000}"/>
    <cellStyle name="Normal 2 2 2" xfId="11" xr:uid="{00000000-0005-0000-0000-00000B000000}"/>
    <cellStyle name="Normal 2 3" xfId="16" xr:uid="{BAFE2107-1B45-4D10-A346-51F00AB9D1FB}"/>
    <cellStyle name="Normal 3" xfId="4" xr:uid="{00000000-0005-0000-0000-00000C000000}"/>
    <cellStyle name="Normal 3 2" xfId="12" xr:uid="{00000000-0005-0000-0000-00000D000000}"/>
    <cellStyle name="Normal 4" xfId="15" xr:uid="{85A42B30-9C16-40E5-868C-9CC719BE38A8}"/>
    <cellStyle name="Percent" xfId="1" builtinId="5"/>
  </cellStyles>
  <dxfs count="5">
    <dxf>
      <font>
        <color theme="1" tint="4.9989318521683403E-2"/>
      </font>
      <fill>
        <patternFill>
          <bgColor rgb="FFF39623"/>
        </patternFill>
      </fill>
    </dxf>
    <dxf>
      <font>
        <color theme="1"/>
      </font>
      <fill>
        <patternFill>
          <bgColor rgb="FFF39623"/>
        </patternFill>
      </fill>
    </dxf>
    <dxf>
      <border>
        <left style="thin">
          <color rgb="FF9C0006"/>
        </left>
        <right style="thin">
          <color rgb="FF9C0006"/>
        </right>
        <top style="thin">
          <color rgb="FF9C0006"/>
        </top>
        <bottom style="thin">
          <color rgb="FF9C0006"/>
        </bottom>
        <vertical/>
        <horizontal/>
      </border>
    </dxf>
    <dxf>
      <font>
        <color theme="1"/>
      </font>
      <fill>
        <patternFill>
          <bgColor rgb="FFF39623"/>
        </patternFill>
      </fill>
    </dxf>
    <dxf>
      <font>
        <color theme="0"/>
      </font>
      <fill>
        <patternFill>
          <bgColor rgb="FFAA1900"/>
        </patternFill>
      </fill>
    </dxf>
  </dxfs>
  <tableStyles count="0" defaultTableStyle="TableStyleMedium2" defaultPivotStyle="PivotStyleLight16"/>
  <colors>
    <mruColors>
      <color rgb="FFEA9F8F"/>
      <color rgb="FFFFC81E"/>
      <color rgb="FFF39623"/>
      <color rgb="FFAA1900"/>
      <color rgb="FFD9D9D9"/>
      <color rgb="FFFFE59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Seasonal Performance</a:t>
            </a:r>
          </a:p>
        </c:rich>
      </c:tx>
      <c:overlay val="0"/>
    </c:title>
    <c:autoTitleDeleted val="0"/>
    <c:plotArea>
      <c:layout/>
      <c:scatterChart>
        <c:scatterStyle val="lineMarker"/>
        <c:varyColors val="0"/>
        <c:ser>
          <c:idx val="1"/>
          <c:order val="0"/>
          <c:spPr>
            <a:ln>
              <a:solidFill>
                <a:schemeClr val="tx2"/>
              </a:solidFill>
            </a:ln>
          </c:spPr>
          <c:marker>
            <c:symbol val="none"/>
          </c:marker>
          <c:xVal>
            <c:numRef>
              <c:f>'ErP Inputs'!$F$65:$F$66</c:f>
              <c:numCache>
                <c:formatCode>General</c:formatCode>
                <c:ptCount val="2"/>
                <c:pt idx="0">
                  <c:v>35</c:v>
                </c:pt>
                <c:pt idx="1">
                  <c:v>45</c:v>
                </c:pt>
              </c:numCache>
            </c:numRef>
          </c:xVal>
          <c:yVal>
            <c:numRef>
              <c:f>'ErP Inputs'!$G$65:$G$66</c:f>
              <c:numCache>
                <c:formatCode>0.00</c:formatCode>
                <c:ptCount val="2"/>
                <c:pt idx="0">
                  <c:v>0</c:v>
                </c:pt>
                <c:pt idx="1">
                  <c:v>0</c:v>
                </c:pt>
              </c:numCache>
            </c:numRef>
          </c:yVal>
          <c:smooth val="0"/>
          <c:extLst>
            <c:ext xmlns:c16="http://schemas.microsoft.com/office/drawing/2014/chart" uri="{C3380CC4-5D6E-409C-BE32-E72D297353CC}">
              <c16:uniqueId val="{00000000-B6E1-4763-85B5-ABFC7FEF3E94}"/>
            </c:ext>
          </c:extLst>
        </c:ser>
        <c:ser>
          <c:idx val="2"/>
          <c:order val="1"/>
          <c:spPr>
            <a:ln>
              <a:solidFill>
                <a:schemeClr val="tx2"/>
              </a:solidFill>
            </a:ln>
          </c:spPr>
          <c:marker>
            <c:symbol val="none"/>
          </c:marker>
          <c:xVal>
            <c:numRef>
              <c:f>'ErP Inputs'!$F$66:$F$67</c:f>
              <c:numCache>
                <c:formatCode>General</c:formatCode>
                <c:ptCount val="2"/>
                <c:pt idx="0">
                  <c:v>45</c:v>
                </c:pt>
                <c:pt idx="1">
                  <c:v>55</c:v>
                </c:pt>
              </c:numCache>
            </c:numRef>
          </c:xVal>
          <c:yVal>
            <c:numRef>
              <c:f>'ErP Inputs'!$G$66:$G$67</c:f>
              <c:numCache>
                <c:formatCode>0.00</c:formatCode>
                <c:ptCount val="2"/>
                <c:pt idx="0">
                  <c:v>0</c:v>
                </c:pt>
                <c:pt idx="1">
                  <c:v>0</c:v>
                </c:pt>
              </c:numCache>
            </c:numRef>
          </c:yVal>
          <c:smooth val="0"/>
          <c:extLst>
            <c:ext xmlns:c16="http://schemas.microsoft.com/office/drawing/2014/chart" uri="{C3380CC4-5D6E-409C-BE32-E72D297353CC}">
              <c16:uniqueId val="{00000001-B6E1-4763-85B5-ABFC7FEF3E94}"/>
            </c:ext>
          </c:extLst>
        </c:ser>
        <c:ser>
          <c:idx val="3"/>
          <c:order val="2"/>
          <c:spPr>
            <a:ln>
              <a:solidFill>
                <a:schemeClr val="tx2"/>
              </a:solidFill>
            </a:ln>
          </c:spPr>
          <c:marker>
            <c:symbol val="none"/>
          </c:marker>
          <c:xVal>
            <c:numRef>
              <c:f>'ErP Inputs'!$F$69:$F$70</c:f>
              <c:numCache>
                <c:formatCode>General</c:formatCode>
                <c:ptCount val="2"/>
                <c:pt idx="0">
                  <c:v>55</c:v>
                </c:pt>
                <c:pt idx="1">
                  <c:v>65</c:v>
                </c:pt>
              </c:numCache>
            </c:numRef>
          </c:xVal>
          <c:yVal>
            <c:numRef>
              <c:f>'ErP Inputs'!$G$69:$G$70</c:f>
              <c:numCache>
                <c:formatCode>0.00</c:formatCode>
                <c:ptCount val="2"/>
                <c:pt idx="0">
                  <c:v>0</c:v>
                </c:pt>
                <c:pt idx="1">
                  <c:v>0</c:v>
                </c:pt>
              </c:numCache>
            </c:numRef>
          </c:yVal>
          <c:smooth val="0"/>
          <c:extLst>
            <c:ext xmlns:c16="http://schemas.microsoft.com/office/drawing/2014/chart" uri="{C3380CC4-5D6E-409C-BE32-E72D297353CC}">
              <c16:uniqueId val="{00000002-B6E1-4763-85B5-ABFC7FEF3E94}"/>
            </c:ext>
          </c:extLst>
        </c:ser>
        <c:dLbls>
          <c:showLegendKey val="0"/>
          <c:showVal val="0"/>
          <c:showCatName val="0"/>
          <c:showSerName val="0"/>
          <c:showPercent val="0"/>
          <c:showBubbleSize val="0"/>
        </c:dLbls>
        <c:axId val="2109406552"/>
        <c:axId val="2061581656"/>
      </c:scatterChart>
      <c:valAx>
        <c:axId val="2109406552"/>
        <c:scaling>
          <c:orientation val="minMax"/>
          <c:max val="65"/>
          <c:min val="35"/>
        </c:scaling>
        <c:delete val="0"/>
        <c:axPos val="b"/>
        <c:title>
          <c:tx>
            <c:rich>
              <a:bodyPr/>
              <a:lstStyle/>
              <a:p>
                <a:pPr>
                  <a:defRPr/>
                </a:pPr>
                <a:r>
                  <a:rPr lang="en-GB"/>
                  <a:t>Application Flow Temperature (°C)</a:t>
                </a:r>
              </a:p>
            </c:rich>
          </c:tx>
          <c:overlay val="0"/>
        </c:title>
        <c:numFmt formatCode="General" sourceLinked="1"/>
        <c:majorTickMark val="out"/>
        <c:minorTickMark val="none"/>
        <c:tickLblPos val="nextTo"/>
        <c:crossAx val="2061581656"/>
        <c:crosses val="autoZero"/>
        <c:crossBetween val="midCat"/>
      </c:valAx>
      <c:valAx>
        <c:axId val="2061581656"/>
        <c:scaling>
          <c:orientation val="minMax"/>
          <c:min val="1"/>
        </c:scaling>
        <c:delete val="0"/>
        <c:axPos val="l"/>
        <c:majorGridlines>
          <c:spPr>
            <a:ln>
              <a:solidFill>
                <a:schemeClr val="bg1">
                  <a:lumMod val="75000"/>
                </a:schemeClr>
              </a:solidFill>
            </a:ln>
          </c:spPr>
        </c:majorGridlines>
        <c:title>
          <c:tx>
            <c:rich>
              <a:bodyPr rot="-5400000" vert="horz"/>
              <a:lstStyle/>
              <a:p>
                <a:pPr>
                  <a:defRPr/>
                </a:pPr>
                <a:r>
                  <a:rPr lang="en-GB"/>
                  <a:t>Seasonal Coefficient of Performance</a:t>
                </a:r>
              </a:p>
            </c:rich>
          </c:tx>
          <c:overlay val="0"/>
        </c:title>
        <c:numFmt formatCode="0.00" sourceLinked="1"/>
        <c:majorTickMark val="out"/>
        <c:minorTickMark val="none"/>
        <c:tickLblPos val="nextTo"/>
        <c:crossAx val="2109406552"/>
        <c:crosses val="autoZero"/>
        <c:crossBetween val="midCat"/>
      </c:valAx>
    </c:plotArea>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9.3279965004374493E-2"/>
          <c:y val="0.134968182591682"/>
          <c:w val="0.89276924759405096"/>
          <c:h val="0.76742434920929403"/>
        </c:manualLayout>
      </c:layout>
      <c:lineChart>
        <c:grouping val="standard"/>
        <c:varyColors val="0"/>
        <c:ser>
          <c:idx val="1"/>
          <c:order val="0"/>
          <c:tx>
            <c:strRef>
              <c:f>'Low SCOP'!$H$26</c:f>
              <c:strCache>
                <c:ptCount val="1"/>
                <c:pt idx="0">
                  <c:v>Heat Pump Capacity</c:v>
                </c:pt>
              </c:strCache>
            </c:strRef>
          </c:tx>
          <c:spPr>
            <a:ln>
              <a:solidFill>
                <a:schemeClr val="tx1"/>
              </a:solidFill>
            </a:ln>
          </c:spPr>
          <c:marker>
            <c:symbol val="none"/>
          </c:marker>
          <c:cat>
            <c:numRef>
              <c:f>'Low SCOP'!$C$29:$C$54</c:f>
              <c:numCache>
                <c:formatCode>General</c:formatCode>
                <c:ptCount val="26"/>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numCache>
            </c:numRef>
          </c:cat>
          <c:val>
            <c:numRef>
              <c:f>'Low SCOP'!$H$29:$H$54</c:f>
              <c:numCache>
                <c:formatCode>0.00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mooth val="0"/>
          <c:extLst>
            <c:ext xmlns:c16="http://schemas.microsoft.com/office/drawing/2014/chart" uri="{C3380CC4-5D6E-409C-BE32-E72D297353CC}">
              <c16:uniqueId val="{00000000-07E4-4AE1-B16C-1563A7B842A7}"/>
            </c:ext>
          </c:extLst>
        </c:ser>
        <c:dLbls>
          <c:showLegendKey val="0"/>
          <c:showVal val="0"/>
          <c:showCatName val="0"/>
          <c:showSerName val="0"/>
          <c:showPercent val="0"/>
          <c:showBubbleSize val="0"/>
        </c:dLbls>
        <c:smooth val="0"/>
        <c:axId val="2118397768"/>
        <c:axId val="2118400776"/>
      </c:lineChart>
      <c:catAx>
        <c:axId val="2118397768"/>
        <c:scaling>
          <c:orientation val="minMax"/>
        </c:scaling>
        <c:delete val="0"/>
        <c:axPos val="b"/>
        <c:numFmt formatCode="General" sourceLinked="1"/>
        <c:majorTickMark val="out"/>
        <c:minorTickMark val="none"/>
        <c:tickLblPos val="nextTo"/>
        <c:crossAx val="2118400776"/>
        <c:crosses val="autoZero"/>
        <c:auto val="1"/>
        <c:lblAlgn val="ctr"/>
        <c:lblOffset val="100"/>
        <c:noMultiLvlLbl val="0"/>
      </c:catAx>
      <c:valAx>
        <c:axId val="2118400776"/>
        <c:scaling>
          <c:orientation val="minMax"/>
        </c:scaling>
        <c:delete val="0"/>
        <c:axPos val="l"/>
        <c:majorGridlines/>
        <c:numFmt formatCode="0.00" sourceLinked="1"/>
        <c:majorTickMark val="out"/>
        <c:minorTickMark val="none"/>
        <c:tickLblPos val="nextTo"/>
        <c:crossAx val="2118397768"/>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COPPL</a:t>
            </a:r>
          </a:p>
        </c:rich>
      </c:tx>
      <c:overlay val="0"/>
    </c:title>
    <c:autoTitleDeleted val="0"/>
    <c:plotArea>
      <c:layout/>
      <c:lineChart>
        <c:grouping val="standard"/>
        <c:varyColors val="0"/>
        <c:ser>
          <c:idx val="1"/>
          <c:order val="0"/>
          <c:tx>
            <c:strRef>
              <c:f>'Low SCOP'!$L$26</c:f>
              <c:strCache>
                <c:ptCount val="1"/>
                <c:pt idx="0">
                  <c:v>COPPL</c:v>
                </c:pt>
              </c:strCache>
            </c:strRef>
          </c:tx>
          <c:spPr>
            <a:ln>
              <a:solidFill>
                <a:schemeClr val="tx1"/>
              </a:solidFill>
            </a:ln>
          </c:spPr>
          <c:marker>
            <c:symbol val="none"/>
          </c:marker>
          <c:cat>
            <c:numRef>
              <c:f>'Low SCOP'!$C$29:$C$54</c:f>
              <c:numCache>
                <c:formatCode>General</c:formatCode>
                <c:ptCount val="26"/>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numCache>
            </c:numRef>
          </c:cat>
          <c:val>
            <c:numRef>
              <c:f>'Low SCOP'!$L$29:$L$54</c:f>
              <c:numCache>
                <c:formatCode>0.00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mooth val="0"/>
          <c:extLst>
            <c:ext xmlns:c16="http://schemas.microsoft.com/office/drawing/2014/chart" uri="{C3380CC4-5D6E-409C-BE32-E72D297353CC}">
              <c16:uniqueId val="{00000000-FE76-440C-B6C1-D4BC13A89D26}"/>
            </c:ext>
          </c:extLst>
        </c:ser>
        <c:dLbls>
          <c:showLegendKey val="0"/>
          <c:showVal val="0"/>
          <c:showCatName val="0"/>
          <c:showSerName val="0"/>
          <c:showPercent val="0"/>
          <c:showBubbleSize val="0"/>
        </c:dLbls>
        <c:smooth val="0"/>
        <c:axId val="2118435896"/>
        <c:axId val="2118438904"/>
      </c:lineChart>
      <c:catAx>
        <c:axId val="2118435896"/>
        <c:scaling>
          <c:orientation val="minMax"/>
        </c:scaling>
        <c:delete val="0"/>
        <c:axPos val="b"/>
        <c:numFmt formatCode="General" sourceLinked="1"/>
        <c:majorTickMark val="out"/>
        <c:minorTickMark val="none"/>
        <c:tickLblPos val="nextTo"/>
        <c:crossAx val="2118438904"/>
        <c:crosses val="autoZero"/>
        <c:auto val="1"/>
        <c:lblAlgn val="ctr"/>
        <c:lblOffset val="100"/>
        <c:noMultiLvlLbl val="0"/>
      </c:catAx>
      <c:valAx>
        <c:axId val="2118438904"/>
        <c:scaling>
          <c:orientation val="minMax"/>
        </c:scaling>
        <c:delete val="0"/>
        <c:axPos val="l"/>
        <c:majorGridlines/>
        <c:numFmt formatCode="0.00" sourceLinked="1"/>
        <c:majorTickMark val="out"/>
        <c:minorTickMark val="none"/>
        <c:tickLblPos val="nextTo"/>
        <c:crossAx val="2118435896"/>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9.3279965004374493E-2"/>
          <c:y val="0.134968182591682"/>
          <c:w val="0.89276924759405096"/>
          <c:h val="0.76742434920929403"/>
        </c:manualLayout>
      </c:layout>
      <c:lineChart>
        <c:grouping val="standard"/>
        <c:varyColors val="0"/>
        <c:ser>
          <c:idx val="1"/>
          <c:order val="0"/>
          <c:tx>
            <c:strRef>
              <c:f>'Intermediate SCOP'!$H$26</c:f>
              <c:strCache>
                <c:ptCount val="1"/>
                <c:pt idx="0">
                  <c:v>Heat Pump Capacity</c:v>
                </c:pt>
              </c:strCache>
            </c:strRef>
          </c:tx>
          <c:spPr>
            <a:ln>
              <a:solidFill>
                <a:schemeClr val="tx1"/>
              </a:solidFill>
            </a:ln>
          </c:spPr>
          <c:marker>
            <c:symbol val="none"/>
          </c:marker>
          <c:cat>
            <c:numRef>
              <c:f>'Intermediate SCOP'!$C$29:$C$54</c:f>
              <c:numCache>
                <c:formatCode>General</c:formatCode>
                <c:ptCount val="26"/>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numCache>
            </c:numRef>
          </c:cat>
          <c:val>
            <c:numRef>
              <c:f>'Intermediate SCOP'!$H$29:$H$54</c:f>
              <c:numCache>
                <c:formatCode>0.00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mooth val="0"/>
          <c:extLst>
            <c:ext xmlns:c16="http://schemas.microsoft.com/office/drawing/2014/chart" uri="{C3380CC4-5D6E-409C-BE32-E72D297353CC}">
              <c16:uniqueId val="{00000000-9214-4A10-A7DB-1973AEB1D67F}"/>
            </c:ext>
          </c:extLst>
        </c:ser>
        <c:dLbls>
          <c:showLegendKey val="0"/>
          <c:showVal val="0"/>
          <c:showCatName val="0"/>
          <c:showSerName val="0"/>
          <c:showPercent val="0"/>
          <c:showBubbleSize val="0"/>
        </c:dLbls>
        <c:smooth val="0"/>
        <c:axId val="2117713384"/>
        <c:axId val="2117716392"/>
      </c:lineChart>
      <c:catAx>
        <c:axId val="2117713384"/>
        <c:scaling>
          <c:orientation val="minMax"/>
        </c:scaling>
        <c:delete val="0"/>
        <c:axPos val="b"/>
        <c:numFmt formatCode="General" sourceLinked="1"/>
        <c:majorTickMark val="out"/>
        <c:minorTickMark val="none"/>
        <c:tickLblPos val="nextTo"/>
        <c:crossAx val="2117716392"/>
        <c:crosses val="autoZero"/>
        <c:auto val="1"/>
        <c:lblAlgn val="ctr"/>
        <c:lblOffset val="100"/>
        <c:noMultiLvlLbl val="0"/>
      </c:catAx>
      <c:valAx>
        <c:axId val="2117716392"/>
        <c:scaling>
          <c:orientation val="minMax"/>
        </c:scaling>
        <c:delete val="0"/>
        <c:axPos val="l"/>
        <c:majorGridlines/>
        <c:numFmt formatCode="0.00" sourceLinked="1"/>
        <c:majorTickMark val="out"/>
        <c:minorTickMark val="none"/>
        <c:tickLblPos val="nextTo"/>
        <c:crossAx val="2117713384"/>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COPPL</a:t>
            </a:r>
          </a:p>
        </c:rich>
      </c:tx>
      <c:overlay val="0"/>
    </c:title>
    <c:autoTitleDeleted val="0"/>
    <c:plotArea>
      <c:layout/>
      <c:lineChart>
        <c:grouping val="standard"/>
        <c:varyColors val="0"/>
        <c:ser>
          <c:idx val="1"/>
          <c:order val="0"/>
          <c:tx>
            <c:strRef>
              <c:f>'Intermediate SCOP'!$L$26</c:f>
              <c:strCache>
                <c:ptCount val="1"/>
                <c:pt idx="0">
                  <c:v>COPPL</c:v>
                </c:pt>
              </c:strCache>
            </c:strRef>
          </c:tx>
          <c:spPr>
            <a:ln>
              <a:solidFill>
                <a:schemeClr val="tx1"/>
              </a:solidFill>
            </a:ln>
          </c:spPr>
          <c:marker>
            <c:symbol val="none"/>
          </c:marker>
          <c:cat>
            <c:numRef>
              <c:f>'Intermediate SCOP'!$C$29:$C$54</c:f>
              <c:numCache>
                <c:formatCode>General</c:formatCode>
                <c:ptCount val="26"/>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numCache>
            </c:numRef>
          </c:cat>
          <c:val>
            <c:numRef>
              <c:f>'Intermediate SCOP'!$L$29:$L$54</c:f>
              <c:numCache>
                <c:formatCode>0.00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mooth val="0"/>
          <c:extLst>
            <c:ext xmlns:c16="http://schemas.microsoft.com/office/drawing/2014/chart" uri="{C3380CC4-5D6E-409C-BE32-E72D297353CC}">
              <c16:uniqueId val="{00000000-C0DB-4018-B7BE-853214CEA92F}"/>
            </c:ext>
          </c:extLst>
        </c:ser>
        <c:dLbls>
          <c:showLegendKey val="0"/>
          <c:showVal val="0"/>
          <c:showCatName val="0"/>
          <c:showSerName val="0"/>
          <c:showPercent val="0"/>
          <c:showBubbleSize val="0"/>
        </c:dLbls>
        <c:smooth val="0"/>
        <c:axId val="2117745400"/>
        <c:axId val="2117748408"/>
      </c:lineChart>
      <c:catAx>
        <c:axId val="2117745400"/>
        <c:scaling>
          <c:orientation val="minMax"/>
        </c:scaling>
        <c:delete val="0"/>
        <c:axPos val="b"/>
        <c:numFmt formatCode="General" sourceLinked="1"/>
        <c:majorTickMark val="out"/>
        <c:minorTickMark val="none"/>
        <c:tickLblPos val="nextTo"/>
        <c:crossAx val="2117748408"/>
        <c:crosses val="autoZero"/>
        <c:auto val="1"/>
        <c:lblAlgn val="ctr"/>
        <c:lblOffset val="100"/>
        <c:noMultiLvlLbl val="0"/>
      </c:catAx>
      <c:valAx>
        <c:axId val="2117748408"/>
        <c:scaling>
          <c:orientation val="minMax"/>
        </c:scaling>
        <c:delete val="0"/>
        <c:axPos val="l"/>
        <c:majorGridlines/>
        <c:numFmt formatCode="0.00" sourceLinked="1"/>
        <c:majorTickMark val="out"/>
        <c:minorTickMark val="none"/>
        <c:tickLblPos val="nextTo"/>
        <c:crossAx val="2117745400"/>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9.3279965004374493E-2"/>
          <c:y val="0.134968182591682"/>
          <c:w val="0.89276924759405096"/>
          <c:h val="0.76742434920929403"/>
        </c:manualLayout>
      </c:layout>
      <c:lineChart>
        <c:grouping val="standard"/>
        <c:varyColors val="0"/>
        <c:ser>
          <c:idx val="1"/>
          <c:order val="0"/>
          <c:tx>
            <c:strRef>
              <c:f>'Medium SCOP'!$I$26</c:f>
              <c:strCache>
                <c:ptCount val="1"/>
                <c:pt idx="0">
                  <c:v>Heat Pump Capacity</c:v>
                </c:pt>
              </c:strCache>
            </c:strRef>
          </c:tx>
          <c:spPr>
            <a:ln>
              <a:solidFill>
                <a:schemeClr val="tx1"/>
              </a:solidFill>
            </a:ln>
          </c:spPr>
          <c:marker>
            <c:symbol val="none"/>
          </c:marker>
          <c:cat>
            <c:numRef>
              <c:f>'Medium SCOP'!$D$29:$D$54</c:f>
              <c:numCache>
                <c:formatCode>General</c:formatCode>
                <c:ptCount val="26"/>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numCache>
            </c:numRef>
          </c:cat>
          <c:val>
            <c:numRef>
              <c:f>'Medium SCOP'!$I$29:$I$54</c:f>
              <c:numCache>
                <c:formatCode>0.00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mooth val="0"/>
          <c:extLst>
            <c:ext xmlns:c16="http://schemas.microsoft.com/office/drawing/2014/chart" uri="{C3380CC4-5D6E-409C-BE32-E72D297353CC}">
              <c16:uniqueId val="{00000000-E1C5-431B-8D5D-B5EEABDD5C3F}"/>
            </c:ext>
          </c:extLst>
        </c:ser>
        <c:dLbls>
          <c:showLegendKey val="0"/>
          <c:showVal val="0"/>
          <c:showCatName val="0"/>
          <c:showSerName val="0"/>
          <c:showPercent val="0"/>
          <c:showBubbleSize val="0"/>
        </c:dLbls>
        <c:smooth val="0"/>
        <c:axId val="2117853032"/>
        <c:axId val="2117856040"/>
      </c:lineChart>
      <c:catAx>
        <c:axId val="2117853032"/>
        <c:scaling>
          <c:orientation val="minMax"/>
        </c:scaling>
        <c:delete val="0"/>
        <c:axPos val="b"/>
        <c:numFmt formatCode="General" sourceLinked="1"/>
        <c:majorTickMark val="out"/>
        <c:minorTickMark val="none"/>
        <c:tickLblPos val="nextTo"/>
        <c:crossAx val="2117856040"/>
        <c:crosses val="autoZero"/>
        <c:auto val="1"/>
        <c:lblAlgn val="ctr"/>
        <c:lblOffset val="100"/>
        <c:noMultiLvlLbl val="0"/>
      </c:catAx>
      <c:valAx>
        <c:axId val="2117856040"/>
        <c:scaling>
          <c:orientation val="minMax"/>
        </c:scaling>
        <c:delete val="0"/>
        <c:axPos val="l"/>
        <c:majorGridlines/>
        <c:numFmt formatCode="0.00" sourceLinked="1"/>
        <c:majorTickMark val="out"/>
        <c:minorTickMark val="none"/>
        <c:tickLblPos val="nextTo"/>
        <c:crossAx val="2117853032"/>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COPPL</a:t>
            </a:r>
          </a:p>
        </c:rich>
      </c:tx>
      <c:overlay val="0"/>
    </c:title>
    <c:autoTitleDeleted val="0"/>
    <c:plotArea>
      <c:layout/>
      <c:lineChart>
        <c:grouping val="standard"/>
        <c:varyColors val="0"/>
        <c:ser>
          <c:idx val="1"/>
          <c:order val="0"/>
          <c:tx>
            <c:strRef>
              <c:f>'Medium SCOP'!$M$26</c:f>
              <c:strCache>
                <c:ptCount val="1"/>
                <c:pt idx="0">
                  <c:v>COPPL</c:v>
                </c:pt>
              </c:strCache>
            </c:strRef>
          </c:tx>
          <c:spPr>
            <a:ln>
              <a:solidFill>
                <a:schemeClr val="tx1"/>
              </a:solidFill>
            </a:ln>
          </c:spPr>
          <c:marker>
            <c:symbol val="none"/>
          </c:marker>
          <c:cat>
            <c:numRef>
              <c:f>'Medium SCOP'!$D$29:$D$54</c:f>
              <c:numCache>
                <c:formatCode>General</c:formatCode>
                <c:ptCount val="26"/>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numCache>
            </c:numRef>
          </c:cat>
          <c:val>
            <c:numRef>
              <c:f>'Medium SCOP'!$M$29:$M$54</c:f>
              <c:numCache>
                <c:formatCode>0.00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mooth val="0"/>
          <c:extLst>
            <c:ext xmlns:c16="http://schemas.microsoft.com/office/drawing/2014/chart" uri="{C3380CC4-5D6E-409C-BE32-E72D297353CC}">
              <c16:uniqueId val="{00000000-B646-4F01-BC5B-5D6C2A3B0FA8}"/>
            </c:ext>
          </c:extLst>
        </c:ser>
        <c:dLbls>
          <c:showLegendKey val="0"/>
          <c:showVal val="0"/>
          <c:showCatName val="0"/>
          <c:showSerName val="0"/>
          <c:showPercent val="0"/>
          <c:showBubbleSize val="0"/>
        </c:dLbls>
        <c:smooth val="0"/>
        <c:axId val="2117885048"/>
        <c:axId val="2117888056"/>
      </c:lineChart>
      <c:catAx>
        <c:axId val="2117885048"/>
        <c:scaling>
          <c:orientation val="minMax"/>
        </c:scaling>
        <c:delete val="0"/>
        <c:axPos val="b"/>
        <c:numFmt formatCode="General" sourceLinked="1"/>
        <c:majorTickMark val="out"/>
        <c:minorTickMark val="none"/>
        <c:tickLblPos val="nextTo"/>
        <c:crossAx val="2117888056"/>
        <c:crosses val="autoZero"/>
        <c:auto val="1"/>
        <c:lblAlgn val="ctr"/>
        <c:lblOffset val="100"/>
        <c:noMultiLvlLbl val="0"/>
      </c:catAx>
      <c:valAx>
        <c:axId val="2117888056"/>
        <c:scaling>
          <c:orientation val="minMax"/>
        </c:scaling>
        <c:delete val="0"/>
        <c:axPos val="l"/>
        <c:majorGridlines/>
        <c:numFmt formatCode="0.00" sourceLinked="1"/>
        <c:majorTickMark val="out"/>
        <c:minorTickMark val="none"/>
        <c:tickLblPos val="nextTo"/>
        <c:crossAx val="2117885048"/>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9.3279965004374493E-2"/>
          <c:y val="0.134968182591682"/>
          <c:w val="0.89276924759405096"/>
          <c:h val="0.76742434920929403"/>
        </c:manualLayout>
      </c:layout>
      <c:lineChart>
        <c:grouping val="standard"/>
        <c:varyColors val="0"/>
        <c:ser>
          <c:idx val="1"/>
          <c:order val="0"/>
          <c:tx>
            <c:strRef>
              <c:f>'High SCOP'!$I$26</c:f>
              <c:strCache>
                <c:ptCount val="1"/>
                <c:pt idx="0">
                  <c:v>Heat Pump Capacity</c:v>
                </c:pt>
              </c:strCache>
            </c:strRef>
          </c:tx>
          <c:spPr>
            <a:ln>
              <a:solidFill>
                <a:schemeClr val="tx1"/>
              </a:solidFill>
            </a:ln>
          </c:spPr>
          <c:marker>
            <c:symbol val="none"/>
          </c:marker>
          <c:cat>
            <c:numRef>
              <c:f>'High SCOP'!$D$29:$D$54</c:f>
              <c:numCache>
                <c:formatCode>General</c:formatCode>
                <c:ptCount val="26"/>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numCache>
            </c:numRef>
          </c:cat>
          <c:val>
            <c:numRef>
              <c:f>'High SCOP'!$I$29:$I$54</c:f>
              <c:numCache>
                <c:formatCode>0.00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mooth val="0"/>
          <c:extLst>
            <c:ext xmlns:c16="http://schemas.microsoft.com/office/drawing/2014/chart" uri="{C3380CC4-5D6E-409C-BE32-E72D297353CC}">
              <c16:uniqueId val="{00000000-22E1-4459-94F7-67209252D17E}"/>
            </c:ext>
          </c:extLst>
        </c:ser>
        <c:dLbls>
          <c:showLegendKey val="0"/>
          <c:showVal val="0"/>
          <c:showCatName val="0"/>
          <c:showSerName val="0"/>
          <c:showPercent val="0"/>
          <c:showBubbleSize val="0"/>
        </c:dLbls>
        <c:smooth val="0"/>
        <c:axId val="2117976376"/>
        <c:axId val="2117979384"/>
      </c:lineChart>
      <c:catAx>
        <c:axId val="2117976376"/>
        <c:scaling>
          <c:orientation val="minMax"/>
        </c:scaling>
        <c:delete val="0"/>
        <c:axPos val="b"/>
        <c:numFmt formatCode="General" sourceLinked="1"/>
        <c:majorTickMark val="out"/>
        <c:minorTickMark val="none"/>
        <c:tickLblPos val="nextTo"/>
        <c:crossAx val="2117979384"/>
        <c:crosses val="autoZero"/>
        <c:auto val="1"/>
        <c:lblAlgn val="ctr"/>
        <c:lblOffset val="100"/>
        <c:noMultiLvlLbl val="0"/>
      </c:catAx>
      <c:valAx>
        <c:axId val="2117979384"/>
        <c:scaling>
          <c:orientation val="minMax"/>
        </c:scaling>
        <c:delete val="0"/>
        <c:axPos val="l"/>
        <c:majorGridlines/>
        <c:numFmt formatCode="0.00" sourceLinked="1"/>
        <c:majorTickMark val="out"/>
        <c:minorTickMark val="none"/>
        <c:tickLblPos val="nextTo"/>
        <c:crossAx val="2117976376"/>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COPPL</a:t>
            </a:r>
          </a:p>
        </c:rich>
      </c:tx>
      <c:overlay val="0"/>
    </c:title>
    <c:autoTitleDeleted val="0"/>
    <c:plotArea>
      <c:layout/>
      <c:lineChart>
        <c:grouping val="standard"/>
        <c:varyColors val="0"/>
        <c:ser>
          <c:idx val="1"/>
          <c:order val="0"/>
          <c:tx>
            <c:strRef>
              <c:f>'High SCOP'!$M$26</c:f>
              <c:strCache>
                <c:ptCount val="1"/>
                <c:pt idx="0">
                  <c:v>COPPL</c:v>
                </c:pt>
              </c:strCache>
            </c:strRef>
          </c:tx>
          <c:spPr>
            <a:ln>
              <a:solidFill>
                <a:schemeClr val="tx1"/>
              </a:solidFill>
            </a:ln>
          </c:spPr>
          <c:marker>
            <c:symbol val="none"/>
          </c:marker>
          <c:cat>
            <c:numRef>
              <c:f>'High SCOP'!$D$29:$D$54</c:f>
              <c:numCache>
                <c:formatCode>General</c:formatCode>
                <c:ptCount val="26"/>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numCache>
            </c:numRef>
          </c:cat>
          <c:val>
            <c:numRef>
              <c:f>'High SCOP'!$M$29:$M$54</c:f>
              <c:numCache>
                <c:formatCode>0.00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mooth val="0"/>
          <c:extLst>
            <c:ext xmlns:c16="http://schemas.microsoft.com/office/drawing/2014/chart" uri="{C3380CC4-5D6E-409C-BE32-E72D297353CC}">
              <c16:uniqueId val="{00000000-5183-4DB5-90D8-E52AA22953AE}"/>
            </c:ext>
          </c:extLst>
        </c:ser>
        <c:dLbls>
          <c:showLegendKey val="0"/>
          <c:showVal val="0"/>
          <c:showCatName val="0"/>
          <c:showSerName val="0"/>
          <c:showPercent val="0"/>
          <c:showBubbleSize val="0"/>
        </c:dLbls>
        <c:smooth val="0"/>
        <c:axId val="2118008472"/>
        <c:axId val="2118011480"/>
      </c:lineChart>
      <c:catAx>
        <c:axId val="2118008472"/>
        <c:scaling>
          <c:orientation val="minMax"/>
        </c:scaling>
        <c:delete val="0"/>
        <c:axPos val="b"/>
        <c:numFmt formatCode="General" sourceLinked="1"/>
        <c:majorTickMark val="out"/>
        <c:minorTickMark val="none"/>
        <c:tickLblPos val="nextTo"/>
        <c:crossAx val="2118011480"/>
        <c:crosses val="autoZero"/>
        <c:auto val="1"/>
        <c:lblAlgn val="ctr"/>
        <c:lblOffset val="100"/>
        <c:noMultiLvlLbl val="0"/>
      </c:catAx>
      <c:valAx>
        <c:axId val="2118011480"/>
        <c:scaling>
          <c:orientation val="minMax"/>
        </c:scaling>
        <c:delete val="0"/>
        <c:axPos val="l"/>
        <c:majorGridlines/>
        <c:numFmt formatCode="0.00" sourceLinked="1"/>
        <c:majorTickMark val="out"/>
        <c:minorTickMark val="none"/>
        <c:tickLblPos val="nextTo"/>
        <c:crossAx val="2118008472"/>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779317</xdr:colOff>
      <xdr:row>2</xdr:row>
      <xdr:rowOff>16848</xdr:rowOff>
    </xdr:from>
    <xdr:to>
      <xdr:col>4</xdr:col>
      <xdr:colOff>10391</xdr:colOff>
      <xdr:row>4</xdr:row>
      <xdr:rowOff>441862</xdr:rowOff>
    </xdr:to>
    <xdr:pic>
      <xdr:nvPicPr>
        <xdr:cNvPr id="2" name="Picture 1">
          <a:extLst>
            <a:ext uri="{FF2B5EF4-FFF2-40B4-BE49-F238E27FC236}">
              <a16:creationId xmlns:a16="http://schemas.microsoft.com/office/drawing/2014/main" id="{4EF0316D-1BF6-48CE-9F49-C599362A61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567" y="531198"/>
          <a:ext cx="1440874" cy="1440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287533</xdr:colOff>
      <xdr:row>3</xdr:row>
      <xdr:rowOff>168450</xdr:rowOff>
    </xdr:from>
    <xdr:to>
      <xdr:col>9</xdr:col>
      <xdr:colOff>54475</xdr:colOff>
      <xdr:row>8</xdr:row>
      <xdr:rowOff>0</xdr:rowOff>
    </xdr:to>
    <xdr:sp macro="" textlink="">
      <xdr:nvSpPr>
        <xdr:cNvPr id="3" name="TextBox 2">
          <a:extLst>
            <a:ext uri="{FF2B5EF4-FFF2-40B4-BE49-F238E27FC236}">
              <a16:creationId xmlns:a16="http://schemas.microsoft.com/office/drawing/2014/main" id="{5BBB251A-4A95-4B4D-BCB5-A94A1C658B74}"/>
            </a:ext>
          </a:extLst>
        </xdr:cNvPr>
        <xdr:cNvSpPr txBox="1"/>
      </xdr:nvSpPr>
      <xdr:spPr>
        <a:xfrm>
          <a:off x="2212799" y="1323610"/>
          <a:ext cx="7954389" cy="2152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kern="1200">
              <a:latin typeface="Arial" panose="020B0604020202020204" pitchFamily="34" charset="0"/>
              <a:cs typeface="Arial" panose="020B0604020202020204" pitchFamily="34" charset="0"/>
            </a:rPr>
            <a:t>This calculator</a:t>
          </a:r>
          <a:r>
            <a:rPr lang="en-GB" sz="1200" kern="1200" baseline="0">
              <a:latin typeface="Arial" panose="020B0604020202020204" pitchFamily="34" charset="0"/>
              <a:cs typeface="Arial" panose="020B0604020202020204" pitchFamily="34" charset="0"/>
            </a:rPr>
            <a:t> can only be used for calculating the Seasonal Space Heating Energy Efficiency (SSHEE) and Seasonal Coefficient of Performance (SCOP) for Air-to-water/Brine-to-water heat pumps under the average climate conditions, as defined by Commission Regulation (EU) No. 813/2013.</a:t>
          </a:r>
        </a:p>
        <a:p>
          <a:endParaRPr lang="en-GB" sz="1200" kern="1200" baseline="0">
            <a:latin typeface="Arial" panose="020B0604020202020204" pitchFamily="34" charset="0"/>
            <a:cs typeface="Arial" panose="020B0604020202020204" pitchFamily="34" charset="0"/>
          </a:endParaRPr>
        </a:p>
        <a:p>
          <a:r>
            <a:rPr lang="en-GB" sz="1200" kern="1200" baseline="0">
              <a:latin typeface="Arial" panose="020B0604020202020204" pitchFamily="34" charset="0"/>
              <a:cs typeface="Arial" panose="020B0604020202020204" pitchFamily="34" charset="0"/>
            </a:rPr>
            <a:t>MCS Certification Bodies may use the calculator when certifying products against the requirements of MCS 007 (Product certification scheme requirements - heat pumps).</a:t>
          </a:r>
        </a:p>
        <a:p>
          <a:endParaRPr lang="en-GB" sz="1200" kern="1200" baseline="0">
            <a:latin typeface="Arial" panose="020B0604020202020204" pitchFamily="34" charset="0"/>
            <a:cs typeface="Arial" panose="020B0604020202020204" pitchFamily="34" charset="0"/>
          </a:endParaRPr>
        </a:p>
        <a:p>
          <a:r>
            <a:rPr lang="en-GB" sz="1200" kern="1200" baseline="0">
              <a:latin typeface="Arial" panose="020B0604020202020204" pitchFamily="34" charset="0"/>
              <a:cs typeface="Arial" panose="020B0604020202020204" pitchFamily="34" charset="0"/>
            </a:rPr>
            <a:t>Data calculated in accordance with this tool will be published within the product search section of the MCS database. </a:t>
          </a:r>
        </a:p>
        <a:p>
          <a:endParaRPr lang="en-GB" sz="1200" kern="1200" baseline="0">
            <a:latin typeface="Arial" panose="020B0604020202020204" pitchFamily="34" charset="0"/>
            <a:cs typeface="Arial" panose="020B0604020202020204" pitchFamily="34" charset="0"/>
          </a:endParaRPr>
        </a:p>
        <a:p>
          <a:r>
            <a:rPr lang="en-GB" sz="1200" kern="1200" baseline="0">
              <a:latin typeface="Arial" panose="020B0604020202020204" pitchFamily="34" charset="0"/>
              <a:cs typeface="Arial" panose="020B0604020202020204" pitchFamily="34" charset="0"/>
            </a:rPr>
            <a:t>Please visit: https://mcscertified.com/</a:t>
          </a:r>
          <a:endParaRPr lang="en-GB" sz="1050" kern="1200">
            <a:latin typeface="Arial" panose="020B0604020202020204" pitchFamily="34" charset="0"/>
            <a:cs typeface="Arial" panose="020B0604020202020204" pitchFamily="34" charset="0"/>
          </a:endParaRPr>
        </a:p>
      </xdr:txBody>
    </xdr:sp>
    <xdr:clientData/>
  </xdr:twoCellAnchor>
  <xdr:twoCellAnchor>
    <xdr:from>
      <xdr:col>4</xdr:col>
      <xdr:colOff>263861</xdr:colOff>
      <xdr:row>8</xdr:row>
      <xdr:rowOff>40936</xdr:rowOff>
    </xdr:from>
    <xdr:to>
      <xdr:col>9</xdr:col>
      <xdr:colOff>30803</xdr:colOff>
      <xdr:row>16</xdr:row>
      <xdr:rowOff>60798</xdr:rowOff>
    </xdr:to>
    <xdr:sp macro="" textlink="">
      <xdr:nvSpPr>
        <xdr:cNvPr id="4" name="TextBox 3">
          <a:extLst>
            <a:ext uri="{FF2B5EF4-FFF2-40B4-BE49-F238E27FC236}">
              <a16:creationId xmlns:a16="http://schemas.microsoft.com/office/drawing/2014/main" id="{865D944E-28C0-4EDA-8B36-FD2D26F20C06}"/>
            </a:ext>
          </a:extLst>
        </xdr:cNvPr>
        <xdr:cNvSpPr txBox="1"/>
      </xdr:nvSpPr>
      <xdr:spPr>
        <a:xfrm>
          <a:off x="2187911" y="4470061"/>
          <a:ext cx="7939392" cy="17153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kern="1200">
              <a:latin typeface="Arial" panose="020B0604020202020204" pitchFamily="34" charset="0"/>
              <a:cs typeface="Arial" panose="020B0604020202020204" pitchFamily="34" charset="0"/>
            </a:rPr>
            <a:t>MCS is keen to improve the calculator and be made aware of any issues. Please submit feedback to feedback@mcscertified.com.</a:t>
          </a:r>
        </a:p>
        <a:p>
          <a:endParaRPr lang="en-GB" sz="1200" kern="1200">
            <a:latin typeface="Arial" panose="020B0604020202020204" pitchFamily="34" charset="0"/>
            <a:cs typeface="Arial" panose="020B0604020202020204" pitchFamily="34" charset="0"/>
          </a:endParaRPr>
        </a:p>
        <a:p>
          <a:r>
            <a:rPr lang="en-GB" sz="1200" kern="1200">
              <a:latin typeface="Arial" panose="020B0604020202020204" pitchFamily="34" charset="0"/>
              <a:cs typeface="Arial" panose="020B0604020202020204" pitchFamily="34" charset="0"/>
            </a:rPr>
            <a:t>Whilst all reasonable care has been taken in the preparation of this document, it is provided on an “as is” basis without any guarantee of completeness or accuracy. The MCS Service Company Ltd and The MCS Foundation (and any related parties) do not accept liability for any errors or omissions in the document nor for the use or application of the information, standards, or requirements contained in the document by any third party.</a:t>
          </a:r>
        </a:p>
        <a:p>
          <a:endParaRPr lang="en-GB" sz="1200" kern="1200">
            <a:latin typeface="Arial" panose="020B0604020202020204" pitchFamily="34" charset="0"/>
            <a:cs typeface="Arial" panose="020B0604020202020204" pitchFamily="34" charset="0"/>
          </a:endParaRPr>
        </a:p>
        <a:p>
          <a:r>
            <a:rPr lang="en-GB" sz="1200" kern="1200">
              <a:latin typeface="Arial" panose="020B0604020202020204" pitchFamily="34" charset="0"/>
              <a:cs typeface="Arial" panose="020B0604020202020204" pitchFamily="34" charset="0"/>
            </a:rPr>
            <a:t>COPYRIGHT © The MCS Foundation 2025.</a:t>
          </a:r>
          <a:endParaRPr lang="en-GB" sz="1050" kern="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474357</xdr:colOff>
      <xdr:row>63</xdr:row>
      <xdr:rowOff>105319</xdr:rowOff>
    </xdr:from>
    <xdr:to>
      <xdr:col>16</xdr:col>
      <xdr:colOff>3058583</xdr:colOff>
      <xdr:row>94</xdr:row>
      <xdr:rowOff>21167</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348533</xdr:colOff>
      <xdr:row>4</xdr:row>
      <xdr:rowOff>122098</xdr:rowOff>
    </xdr:from>
    <xdr:to>
      <xdr:col>12</xdr:col>
      <xdr:colOff>489476</xdr:colOff>
      <xdr:row>11</xdr:row>
      <xdr:rowOff>148167</xdr:rowOff>
    </xdr:to>
    <xdr:grpSp>
      <xdr:nvGrpSpPr>
        <xdr:cNvPr id="3" name="Group 2">
          <a:extLst>
            <a:ext uri="{FF2B5EF4-FFF2-40B4-BE49-F238E27FC236}">
              <a16:creationId xmlns:a16="http://schemas.microsoft.com/office/drawing/2014/main" id="{FD71FB2D-6226-41F4-AE06-8C9DDAFABDCF}"/>
            </a:ext>
          </a:extLst>
        </xdr:cNvPr>
        <xdr:cNvGrpSpPr/>
      </xdr:nvGrpSpPr>
      <xdr:grpSpPr>
        <a:xfrm>
          <a:off x="8528127" y="1812786"/>
          <a:ext cx="3891412" cy="2538287"/>
          <a:chOff x="7015691" y="328084"/>
          <a:chExt cx="2911475" cy="1862667"/>
        </a:xfrm>
      </xdr:grpSpPr>
      <xdr:grpSp>
        <xdr:nvGrpSpPr>
          <xdr:cNvPr id="5" name="Group 4">
            <a:extLst>
              <a:ext uri="{FF2B5EF4-FFF2-40B4-BE49-F238E27FC236}">
                <a16:creationId xmlns:a16="http://schemas.microsoft.com/office/drawing/2014/main" id="{F83B23E0-0ECB-8A7F-99B6-9A33AA763C5A}"/>
              </a:ext>
            </a:extLst>
          </xdr:cNvPr>
          <xdr:cNvGrpSpPr/>
        </xdr:nvGrpSpPr>
        <xdr:grpSpPr>
          <a:xfrm>
            <a:off x="7015691" y="328084"/>
            <a:ext cx="2911475" cy="1862667"/>
            <a:chOff x="7015691" y="328084"/>
            <a:chExt cx="2657475" cy="1862667"/>
          </a:xfrm>
        </xdr:grpSpPr>
        <xdr:sp macro="" textlink="">
          <xdr:nvSpPr>
            <xdr:cNvPr id="8" name="TextBox 7">
              <a:extLst>
                <a:ext uri="{FF2B5EF4-FFF2-40B4-BE49-F238E27FC236}">
                  <a16:creationId xmlns:a16="http://schemas.microsoft.com/office/drawing/2014/main" id="{53ADAE39-737A-D55B-6FA5-A7CA40AA5714}"/>
                </a:ext>
              </a:extLst>
            </xdr:cNvPr>
            <xdr:cNvSpPr txBox="1"/>
          </xdr:nvSpPr>
          <xdr:spPr>
            <a:xfrm>
              <a:off x="7015691" y="328084"/>
              <a:ext cx="2657475" cy="18626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latin typeface="Arial" panose="020B0604020202020204" pitchFamily="34" charset="0"/>
                  <a:cs typeface="Arial" panose="020B0604020202020204" pitchFamily="34" charset="0"/>
                </a:rPr>
                <a:t>Key:</a:t>
              </a:r>
            </a:p>
            <a:p>
              <a:endParaRPr lang="en-GB" sz="1000" b="0">
                <a:latin typeface="Arial" panose="020B0604020202020204" pitchFamily="34" charset="0"/>
                <a:cs typeface="Arial" panose="020B0604020202020204" pitchFamily="34" charset="0"/>
              </a:endParaRPr>
            </a:p>
            <a:p>
              <a:endParaRPr lang="en-GB" sz="1000" b="0">
                <a:latin typeface="Arial" panose="020B0604020202020204" pitchFamily="34" charset="0"/>
                <a:cs typeface="Arial" panose="020B0604020202020204" pitchFamily="34" charset="0"/>
              </a:endParaRPr>
            </a:p>
            <a:p>
              <a:r>
                <a:rPr lang="en-GB" sz="1000" b="0">
                  <a:latin typeface="Arial" panose="020B0604020202020204" pitchFamily="34" charset="0"/>
                  <a:cs typeface="Arial" panose="020B0604020202020204" pitchFamily="34" charset="0"/>
                </a:rPr>
                <a:t>                    </a:t>
              </a:r>
            </a:p>
            <a:p>
              <a:endParaRPr lang="en-GB" sz="1000" b="0">
                <a:latin typeface="Arial" panose="020B0604020202020204" pitchFamily="34" charset="0"/>
                <a:cs typeface="Arial" panose="020B0604020202020204" pitchFamily="34" charset="0"/>
              </a:endParaRPr>
            </a:p>
            <a:p>
              <a:endParaRPr lang="en-GB" sz="1000" b="0">
                <a:latin typeface="Arial" panose="020B0604020202020204" pitchFamily="34" charset="0"/>
                <a:cs typeface="Arial" panose="020B0604020202020204" pitchFamily="34" charset="0"/>
              </a:endParaRPr>
            </a:p>
            <a:p>
              <a:endParaRPr lang="en-GB" sz="1000" b="0">
                <a:latin typeface="Arial" panose="020B0604020202020204" pitchFamily="34" charset="0"/>
                <a:cs typeface="Arial" panose="020B0604020202020204" pitchFamily="34" charset="0"/>
              </a:endParaRPr>
            </a:p>
            <a:p>
              <a:endParaRPr lang="en-GB" sz="1000" b="0">
                <a:latin typeface="Arial" panose="020B0604020202020204" pitchFamily="34" charset="0"/>
                <a:cs typeface="Arial" panose="020B0604020202020204" pitchFamily="34" charset="0"/>
              </a:endParaRPr>
            </a:p>
            <a:p>
              <a:r>
                <a:rPr lang="en-GB" sz="1000" b="0" baseline="0">
                  <a:latin typeface="Arial" panose="020B0604020202020204" pitchFamily="34" charset="0"/>
                  <a:cs typeface="Arial" panose="020B0604020202020204" pitchFamily="34" charset="0"/>
                </a:rPr>
                <a:t>                    </a:t>
              </a:r>
              <a:endParaRPr lang="en-GB" sz="1000" b="0">
                <a:latin typeface="Arial" panose="020B0604020202020204" pitchFamily="34" charset="0"/>
                <a:cs typeface="Arial" panose="020B0604020202020204" pitchFamily="34" charset="0"/>
              </a:endParaRPr>
            </a:p>
          </xdr:txBody>
        </xdr:sp>
        <xdr:sp macro="" textlink="">
          <xdr:nvSpPr>
            <xdr:cNvPr id="9" name="Rectangle 8">
              <a:extLst>
                <a:ext uri="{FF2B5EF4-FFF2-40B4-BE49-F238E27FC236}">
                  <a16:creationId xmlns:a16="http://schemas.microsoft.com/office/drawing/2014/main" id="{645C3F0C-2A9E-F4EB-FF52-34BAD5F2D9C5}"/>
                </a:ext>
              </a:extLst>
            </xdr:cNvPr>
            <xdr:cNvSpPr/>
          </xdr:nvSpPr>
          <xdr:spPr>
            <a:xfrm>
              <a:off x="7119409" y="613833"/>
              <a:ext cx="583141" cy="613833"/>
            </a:xfrm>
            <a:prstGeom prst="rect">
              <a:avLst/>
            </a:prstGeom>
            <a:solidFill>
              <a:srgbClr val="FFE59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0" name="Rectangle 9">
              <a:extLst>
                <a:ext uri="{FF2B5EF4-FFF2-40B4-BE49-F238E27FC236}">
                  <a16:creationId xmlns:a16="http://schemas.microsoft.com/office/drawing/2014/main" id="{224B5245-9F19-0D19-322B-6F3DCFF0865C}"/>
                </a:ext>
              </a:extLst>
            </xdr:cNvPr>
            <xdr:cNvSpPr/>
          </xdr:nvSpPr>
          <xdr:spPr>
            <a:xfrm>
              <a:off x="7115177" y="1475315"/>
              <a:ext cx="583141" cy="613833"/>
            </a:xfrm>
            <a:prstGeom prst="rect">
              <a:avLst/>
            </a:prstGeom>
            <a:solidFill>
              <a:srgbClr val="EA9F8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sp macro="" textlink="">
        <xdr:nvSpPr>
          <xdr:cNvPr id="6" name="TextBox 5">
            <a:extLst>
              <a:ext uri="{FF2B5EF4-FFF2-40B4-BE49-F238E27FC236}">
                <a16:creationId xmlns:a16="http://schemas.microsoft.com/office/drawing/2014/main" id="{39568895-1D6F-E6BE-3CC4-CB9B9B02D2CA}"/>
              </a:ext>
            </a:extLst>
          </xdr:cNvPr>
          <xdr:cNvSpPr txBox="1"/>
        </xdr:nvSpPr>
        <xdr:spPr>
          <a:xfrm>
            <a:off x="7905749" y="603250"/>
            <a:ext cx="1566333" cy="6138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kern="1200">
                <a:latin typeface="Arial" panose="020B0604020202020204" pitchFamily="34" charset="0"/>
                <a:cs typeface="Arial" panose="020B0604020202020204" pitchFamily="34" charset="0"/>
              </a:rPr>
              <a:t>Input required.</a:t>
            </a:r>
          </a:p>
        </xdr:txBody>
      </xdr:sp>
      <xdr:sp macro="" textlink="">
        <xdr:nvSpPr>
          <xdr:cNvPr id="7" name="TextBox 6">
            <a:extLst>
              <a:ext uri="{FF2B5EF4-FFF2-40B4-BE49-F238E27FC236}">
                <a16:creationId xmlns:a16="http://schemas.microsoft.com/office/drawing/2014/main" id="{97153E49-02B3-B6B0-BC0D-4E1578810920}"/>
              </a:ext>
            </a:extLst>
          </xdr:cNvPr>
          <xdr:cNvSpPr txBox="1"/>
        </xdr:nvSpPr>
        <xdr:spPr>
          <a:xfrm>
            <a:off x="7899399" y="1475317"/>
            <a:ext cx="1816101" cy="6138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kern="1200">
                <a:latin typeface="Arial" panose="020B0604020202020204" pitchFamily="34" charset="0"/>
                <a:cs typeface="Arial" panose="020B0604020202020204" pitchFamily="34" charset="0"/>
              </a:rPr>
              <a:t>Calculated outcomes.</a:t>
            </a:r>
          </a:p>
        </xdr:txBody>
      </xdr:sp>
    </xdr:grpSp>
    <xdr:clientData/>
  </xdr:twoCellAnchor>
  <xdr:twoCellAnchor editAs="oneCell">
    <xdr:from>
      <xdr:col>2</xdr:col>
      <xdr:colOff>0</xdr:colOff>
      <xdr:row>1</xdr:row>
      <xdr:rowOff>169334</xdr:rowOff>
    </xdr:from>
    <xdr:to>
      <xdr:col>2</xdr:col>
      <xdr:colOff>596071</xdr:colOff>
      <xdr:row>1</xdr:row>
      <xdr:rowOff>764213</xdr:rowOff>
    </xdr:to>
    <xdr:pic>
      <xdr:nvPicPr>
        <xdr:cNvPr id="11" name="Picture 10">
          <a:extLst>
            <a:ext uri="{FF2B5EF4-FFF2-40B4-BE49-F238E27FC236}">
              <a16:creationId xmlns:a16="http://schemas.microsoft.com/office/drawing/2014/main" id="{532A1CF4-CCE5-45F3-805C-6181B227DB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0417" y="338667"/>
          <a:ext cx="596071" cy="594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547688</xdr:colOff>
      <xdr:row>58</xdr:row>
      <xdr:rowOff>71436</xdr:rowOff>
    </xdr:from>
    <xdr:to>
      <xdr:col>7</xdr:col>
      <xdr:colOff>74083</xdr:colOff>
      <xdr:row>84</xdr:row>
      <xdr:rowOff>74084</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345282</xdr:colOff>
      <xdr:row>58</xdr:row>
      <xdr:rowOff>95250</xdr:rowOff>
    </xdr:from>
    <xdr:to>
      <xdr:col>12</xdr:col>
      <xdr:colOff>889000</xdr:colOff>
      <xdr:row>84</xdr:row>
      <xdr:rowOff>42334</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931334</xdr:colOff>
      <xdr:row>5</xdr:row>
      <xdr:rowOff>158751</xdr:rowOff>
    </xdr:from>
    <xdr:to>
      <xdr:col>10</xdr:col>
      <xdr:colOff>1191950</xdr:colOff>
      <xdr:row>9</xdr:row>
      <xdr:rowOff>37837</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97751" y="1111251"/>
          <a:ext cx="5584032" cy="619919"/>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71438</xdr:colOff>
      <xdr:row>58</xdr:row>
      <xdr:rowOff>59530</xdr:rowOff>
    </xdr:from>
    <xdr:to>
      <xdr:col>6</xdr:col>
      <xdr:colOff>83344</xdr:colOff>
      <xdr:row>72</xdr:row>
      <xdr:rowOff>130968</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345282</xdr:colOff>
      <xdr:row>58</xdr:row>
      <xdr:rowOff>95250</xdr:rowOff>
    </xdr:from>
    <xdr:to>
      <xdr:col>11</xdr:col>
      <xdr:colOff>833438</xdr:colOff>
      <xdr:row>72</xdr:row>
      <xdr:rowOff>166688</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838200</xdr:colOff>
      <xdr:row>5</xdr:row>
      <xdr:rowOff>171451</xdr:rowOff>
    </xdr:from>
    <xdr:to>
      <xdr:col>11</xdr:col>
      <xdr:colOff>126206</xdr:colOff>
      <xdr:row>9</xdr:row>
      <xdr:rowOff>67958</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5050" y="1095376"/>
          <a:ext cx="5650706" cy="639457"/>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71438</xdr:colOff>
      <xdr:row>58</xdr:row>
      <xdr:rowOff>59530</xdr:rowOff>
    </xdr:from>
    <xdr:to>
      <xdr:col>7</xdr:col>
      <xdr:colOff>83344</xdr:colOff>
      <xdr:row>72</xdr:row>
      <xdr:rowOff>130968</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345282</xdr:colOff>
      <xdr:row>58</xdr:row>
      <xdr:rowOff>95250</xdr:rowOff>
    </xdr:from>
    <xdr:to>
      <xdr:col>12</xdr:col>
      <xdr:colOff>833438</xdr:colOff>
      <xdr:row>72</xdr:row>
      <xdr:rowOff>166688</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840442</xdr:colOff>
      <xdr:row>6</xdr:row>
      <xdr:rowOff>23114</xdr:rowOff>
    </xdr:from>
    <xdr:to>
      <xdr:col>11</xdr:col>
      <xdr:colOff>928221</xdr:colOff>
      <xdr:row>9</xdr:row>
      <xdr:rowOff>99548</xdr:rowOff>
    </xdr:to>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21949" y="1171717"/>
          <a:ext cx="5662706" cy="608713"/>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71438</xdr:colOff>
      <xdr:row>58</xdr:row>
      <xdr:rowOff>59530</xdr:rowOff>
    </xdr:from>
    <xdr:to>
      <xdr:col>7</xdr:col>
      <xdr:colOff>83344</xdr:colOff>
      <xdr:row>72</xdr:row>
      <xdr:rowOff>130968</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345282</xdr:colOff>
      <xdr:row>58</xdr:row>
      <xdr:rowOff>95250</xdr:rowOff>
    </xdr:from>
    <xdr:to>
      <xdr:col>12</xdr:col>
      <xdr:colOff>833438</xdr:colOff>
      <xdr:row>72</xdr:row>
      <xdr:rowOff>166688</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948531</xdr:colOff>
      <xdr:row>5</xdr:row>
      <xdr:rowOff>166688</xdr:rowOff>
    </xdr:from>
    <xdr:to>
      <xdr:col>11</xdr:col>
      <xdr:colOff>1202531</xdr:colOff>
      <xdr:row>9</xdr:row>
      <xdr:rowOff>40482</xdr:rowOff>
    </xdr:to>
    <xdr:pic>
      <xdr:nvPicPr>
        <xdr:cNvPr id="4" name="Picture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39844" y="1131094"/>
          <a:ext cx="5826125" cy="611982"/>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5316_4_2%20SAPQ%20Model%20A_W%20HTHPs.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cssco-my.sharepoint.com/personal/adam_padilla_mcscertified_com/Documents/Documents/v2_AMENDMENTS%20JAN%2025_%20HPSPE%20MCS031%20Version%204.0%20(Final).xlsm%20-%20LM%20edits.xlsm" TargetMode="External"/><Relationship Id="rId1" Type="http://schemas.openxmlformats.org/officeDocument/2006/relationships/externalLinkPath" Target="v2_AMENDMENTS%20JAN%2025_%20HPSPE%20MCS031%20Version%204.0%20(Final).xlsm%20-%20LM%20edit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 Characteristics"/>
      <sheetName val="Climate Data"/>
      <sheetName val="Energy"/>
      <sheetName val="Sheet1"/>
      <sheetName val="Back-up Energy"/>
      <sheetName val="HC_COP"/>
      <sheetName val="LA12MI EN14511 results vs. SAPQ"/>
      <sheetName val="LA12MI Comparison"/>
      <sheetName val="Bin Capacity comparison"/>
      <sheetName val="Mich's detailed Bin"/>
      <sheetName val="Sheet3"/>
      <sheetName val="HEAT PUMP"/>
      <sheetName val="MIT"/>
      <sheetName val="HP MIT"/>
    </sheetNames>
    <sheetDataSet>
      <sheetData sheetId="0" refreshError="1"/>
      <sheetData sheetId="1">
        <row r="14">
          <cell r="D14">
            <v>12294.022706307569</v>
          </cell>
        </row>
        <row r="15">
          <cell r="D15">
            <v>2124.0972222222226</v>
          </cell>
        </row>
        <row r="19">
          <cell r="E19">
            <v>-5</v>
          </cell>
        </row>
      </sheetData>
      <sheetData sheetId="2">
        <row r="32">
          <cell r="M32" t="str">
            <v>Radiators 65oC</v>
          </cell>
        </row>
      </sheetData>
      <sheetData sheetId="3"/>
      <sheetData sheetId="4"/>
      <sheetData sheetId="5"/>
      <sheetData sheetId="6" refreshError="1"/>
      <sheetData sheetId="7" refreshError="1"/>
      <sheetData sheetId="8" refreshError="1"/>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amp; Usage"/>
      <sheetName val="Input"/>
      <sheetName val="Output"/>
      <sheetName val="Optional Outputs"/>
      <sheetName val="Climate &amp; Other Lookups"/>
      <sheetName val="SPF Lookups"/>
      <sheetName val="Notes Lookups"/>
      <sheetName val="Notes Index"/>
      <sheetName val="Ver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05357-1D27-4541-BDB5-59475F90A666}">
  <sheetPr codeName="Sheet3"/>
  <dimension ref="B1:L18"/>
  <sheetViews>
    <sheetView showGridLines="0" tabSelected="1" zoomScale="94" zoomScaleNormal="110" workbookViewId="0">
      <selection activeCell="E23" sqref="E23"/>
    </sheetView>
  </sheetViews>
  <sheetFormatPr defaultColWidth="12.5703125" defaultRowHeight="15" x14ac:dyDescent="0.25"/>
  <cols>
    <col min="1" max="1" width="2.85546875" style="7" customWidth="1"/>
    <col min="2" max="2" width="4.85546875" style="7" customWidth="1"/>
    <col min="3" max="3" width="12.5703125" style="7"/>
    <col min="4" max="4" width="8.85546875" style="7" customWidth="1"/>
    <col min="5" max="5" width="4.85546875" style="7" customWidth="1"/>
    <col min="6" max="9" width="29.42578125" style="7" customWidth="1"/>
    <col min="10" max="10" width="4.85546875" style="7" customWidth="1"/>
    <col min="11" max="16384" width="12.5703125" style="7"/>
  </cols>
  <sheetData>
    <row r="1" spans="2:12" ht="15" customHeight="1" thickBot="1" x14ac:dyDescent="0.3"/>
    <row r="2" spans="2:12" ht="26.25" customHeight="1" x14ac:dyDescent="0.25">
      <c r="B2" s="8"/>
      <c r="C2" s="9"/>
      <c r="D2" s="9"/>
      <c r="E2" s="9"/>
      <c r="F2" s="9"/>
      <c r="G2" s="9"/>
      <c r="H2" s="9"/>
      <c r="I2" s="9"/>
      <c r="J2" s="10"/>
      <c r="L2" s="11"/>
    </row>
    <row r="3" spans="2:12" ht="20.25" x14ac:dyDescent="0.25">
      <c r="B3" s="12"/>
      <c r="C3" s="13"/>
      <c r="D3" s="13"/>
      <c r="E3" s="13"/>
      <c r="F3" s="14" t="s">
        <v>139</v>
      </c>
      <c r="G3" s="14"/>
      <c r="H3" s="13"/>
      <c r="I3" s="13"/>
      <c r="J3" s="15"/>
    </row>
    <row r="4" spans="2:12" ht="60" customHeight="1" x14ac:dyDescent="0.25">
      <c r="B4" s="12"/>
      <c r="C4" s="13"/>
      <c r="D4" s="13"/>
      <c r="E4" s="13"/>
      <c r="F4" s="16"/>
      <c r="G4" s="16"/>
      <c r="H4" s="16"/>
      <c r="I4" s="16"/>
      <c r="J4" s="17"/>
    </row>
    <row r="5" spans="2:12" ht="62.1" customHeight="1" x14ac:dyDescent="0.25">
      <c r="B5" s="12"/>
      <c r="C5" s="13"/>
      <c r="D5" s="13"/>
      <c r="E5" s="13"/>
      <c r="F5" s="16"/>
      <c r="G5" s="16"/>
      <c r="H5" s="16"/>
      <c r="I5" s="16"/>
      <c r="J5" s="17"/>
    </row>
    <row r="6" spans="2:12" ht="20.100000000000001" customHeight="1" x14ac:dyDescent="0.25">
      <c r="B6" s="12"/>
      <c r="C6" s="13"/>
      <c r="D6" s="13"/>
      <c r="E6" s="13"/>
      <c r="F6" s="16"/>
      <c r="G6" s="16"/>
      <c r="H6" s="16"/>
      <c r="I6" s="16"/>
      <c r="J6" s="17"/>
    </row>
    <row r="7" spans="2:12" ht="20.100000000000001" customHeight="1" x14ac:dyDescent="0.25">
      <c r="B7" s="12"/>
      <c r="C7" s="13"/>
      <c r="D7" s="13"/>
      <c r="E7" s="13"/>
      <c r="F7" s="16"/>
      <c r="G7" s="16"/>
      <c r="H7" s="16"/>
      <c r="I7" s="16"/>
      <c r="J7" s="17"/>
    </row>
    <row r="8" spans="2:12" ht="20.100000000000001" customHeight="1" x14ac:dyDescent="0.25">
      <c r="B8" s="12"/>
      <c r="C8" s="13"/>
      <c r="D8" s="13"/>
      <c r="E8" s="13"/>
      <c r="F8" s="16"/>
      <c r="G8" s="16"/>
      <c r="H8" s="16"/>
      <c r="I8" s="16"/>
      <c r="J8" s="17"/>
    </row>
    <row r="9" spans="2:12" ht="20.100000000000001" customHeight="1" x14ac:dyDescent="0.25">
      <c r="B9" s="12"/>
      <c r="C9" s="13"/>
      <c r="D9" s="13"/>
      <c r="E9" s="13"/>
      <c r="F9" s="16"/>
      <c r="G9" s="16"/>
      <c r="H9" s="16"/>
      <c r="I9" s="16"/>
      <c r="J9" s="17"/>
    </row>
    <row r="10" spans="2:12" ht="20.100000000000001" customHeight="1" x14ac:dyDescent="0.25">
      <c r="B10" s="12"/>
      <c r="C10" s="13"/>
      <c r="D10" s="13"/>
      <c r="E10" s="13"/>
      <c r="F10" s="16"/>
      <c r="G10" s="16"/>
      <c r="H10" s="16"/>
      <c r="I10" s="16"/>
      <c r="J10" s="17"/>
    </row>
    <row r="11" spans="2:12" ht="20.100000000000001" customHeight="1" x14ac:dyDescent="0.25">
      <c r="B11" s="12"/>
      <c r="C11" s="13"/>
      <c r="D11" s="13"/>
      <c r="E11" s="13"/>
      <c r="F11" s="16"/>
      <c r="G11" s="16"/>
      <c r="H11" s="16"/>
      <c r="I11" s="16"/>
      <c r="J11" s="17"/>
    </row>
    <row r="12" spans="2:12" x14ac:dyDescent="0.25">
      <c r="B12" s="12"/>
      <c r="C12" s="13"/>
      <c r="D12" s="13"/>
      <c r="E12" s="13"/>
      <c r="F12" s="16"/>
      <c r="G12" s="16"/>
      <c r="H12" s="16"/>
      <c r="I12" s="16"/>
      <c r="J12" s="17"/>
    </row>
    <row r="13" spans="2:12" x14ac:dyDescent="0.25">
      <c r="B13" s="12"/>
      <c r="C13" s="13"/>
      <c r="D13" s="13"/>
      <c r="E13" s="13"/>
      <c r="F13" s="16"/>
      <c r="G13" s="16"/>
      <c r="H13" s="16"/>
      <c r="I13" s="16"/>
      <c r="J13" s="15"/>
    </row>
    <row r="14" spans="2:12" x14ac:dyDescent="0.25">
      <c r="B14" s="18"/>
      <c r="C14" s="19"/>
      <c r="D14" s="19"/>
      <c r="E14" s="19"/>
      <c r="F14" s="16"/>
      <c r="G14" s="16"/>
      <c r="H14" s="16"/>
      <c r="I14" s="16"/>
      <c r="J14" s="20"/>
    </row>
    <row r="15" spans="2:12" x14ac:dyDescent="0.25">
      <c r="B15" s="18"/>
      <c r="C15" s="19"/>
      <c r="D15" s="19"/>
      <c r="E15" s="19"/>
      <c r="F15" s="16"/>
      <c r="G15" s="16"/>
      <c r="H15" s="16"/>
      <c r="I15" s="16"/>
      <c r="J15" s="21"/>
    </row>
    <row r="16" spans="2:12" x14ac:dyDescent="0.25">
      <c r="B16" s="18"/>
      <c r="C16" s="19"/>
      <c r="D16" s="19"/>
      <c r="E16" s="19"/>
      <c r="F16" s="16"/>
      <c r="G16" s="16"/>
      <c r="H16" s="16"/>
      <c r="I16" s="16"/>
      <c r="J16" s="20"/>
    </row>
    <row r="17" spans="2:10" ht="9.75" customHeight="1" x14ac:dyDescent="0.25">
      <c r="B17" s="18"/>
      <c r="C17" s="19"/>
      <c r="D17" s="19"/>
      <c r="E17" s="19"/>
      <c r="F17" s="16"/>
      <c r="G17" s="16"/>
      <c r="H17" s="16"/>
      <c r="I17" s="16"/>
      <c r="J17" s="20"/>
    </row>
    <row r="18" spans="2:10" ht="16.5" customHeight="1" thickBot="1" x14ac:dyDescent="0.3">
      <c r="B18" s="22"/>
      <c r="C18" s="23"/>
      <c r="D18" s="23"/>
      <c r="E18" s="23"/>
      <c r="F18" s="23"/>
      <c r="G18" s="23"/>
      <c r="H18" s="23"/>
      <c r="I18" s="23"/>
      <c r="J18" s="24"/>
    </row>
  </sheetData>
  <mergeCells count="1">
    <mergeCell ref="F4:I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P103"/>
  <sheetViews>
    <sheetView showGridLines="0" topLeftCell="A62" zoomScale="80" zoomScaleNormal="80" workbookViewId="0">
      <selection activeCell="D32" sqref="D32"/>
    </sheetView>
  </sheetViews>
  <sheetFormatPr defaultColWidth="9.140625" defaultRowHeight="12.75" x14ac:dyDescent="0.25"/>
  <cols>
    <col min="1" max="1" width="2.85546875" style="44" customWidth="1"/>
    <col min="2" max="2" width="2.7109375" style="44" customWidth="1"/>
    <col min="3" max="3" width="41.85546875" style="44" customWidth="1"/>
    <col min="4" max="4" width="35.140625" style="44" bestFit="1" customWidth="1"/>
    <col min="5" max="5" width="14.42578125" style="44" customWidth="1"/>
    <col min="6" max="7" width="12.85546875" style="44" customWidth="1"/>
    <col min="8" max="16" width="11.28515625" style="44" customWidth="1"/>
    <col min="17" max="17" width="55.42578125" style="44" customWidth="1"/>
    <col min="18" max="21" width="4.85546875" style="44" customWidth="1"/>
    <col min="22" max="22" width="8.85546875" style="44" customWidth="1"/>
    <col min="23" max="25" width="4.85546875" style="44" customWidth="1"/>
    <col min="26" max="26" width="10.5703125" style="44" customWidth="1"/>
    <col min="27" max="27" width="15.5703125" style="52" bestFit="1" customWidth="1"/>
    <col min="28" max="36" width="9.140625" style="52"/>
    <col min="37" max="16384" width="9.140625" style="44"/>
  </cols>
  <sheetData>
    <row r="1" spans="2:36" ht="13.5" thickBot="1" x14ac:dyDescent="0.3"/>
    <row r="2" spans="2:36" ht="73.5" customHeight="1" x14ac:dyDescent="0.25">
      <c r="B2" s="185" t="s">
        <v>149</v>
      </c>
      <c r="C2" s="186"/>
      <c r="D2" s="186"/>
      <c r="E2" s="186"/>
      <c r="F2" s="186"/>
      <c r="G2" s="186"/>
      <c r="H2" s="186"/>
      <c r="I2" s="186"/>
      <c r="J2" s="186"/>
      <c r="K2" s="186"/>
      <c r="L2" s="186"/>
      <c r="M2" s="186"/>
      <c r="N2" s="186"/>
      <c r="O2" s="186"/>
      <c r="P2" s="186"/>
      <c r="Q2" s="187"/>
      <c r="W2" s="52"/>
      <c r="X2" s="52"/>
      <c r="Y2" s="52"/>
      <c r="Z2" s="52"/>
      <c r="AG2" s="44"/>
      <c r="AH2" s="44"/>
      <c r="AI2" s="44"/>
      <c r="AJ2" s="44"/>
    </row>
    <row r="3" spans="2:36" ht="32.25" customHeight="1" x14ac:dyDescent="0.25">
      <c r="B3" s="189" t="s">
        <v>188</v>
      </c>
      <c r="C3" s="188"/>
      <c r="D3" s="188"/>
      <c r="E3" s="188"/>
      <c r="F3" s="188"/>
      <c r="G3" s="188"/>
      <c r="H3" s="188"/>
      <c r="I3" s="188"/>
      <c r="J3" s="188"/>
      <c r="K3" s="188"/>
      <c r="L3" s="188"/>
      <c r="M3" s="188"/>
      <c r="N3" s="188"/>
      <c r="O3" s="188"/>
      <c r="P3" s="188"/>
      <c r="Q3" s="190"/>
      <c r="W3" s="52"/>
      <c r="X3" s="52"/>
      <c r="Y3" s="52"/>
      <c r="Z3" s="52"/>
      <c r="AG3" s="44"/>
      <c r="AH3" s="44"/>
      <c r="AI3" s="44"/>
      <c r="AJ3" s="44"/>
    </row>
    <row r="4" spans="2:36" ht="15" customHeight="1" x14ac:dyDescent="0.25">
      <c r="B4" s="47">
        <v>1</v>
      </c>
      <c r="C4" s="45" t="s">
        <v>153</v>
      </c>
      <c r="D4" s="45"/>
      <c r="E4" s="93" t="s">
        <v>134</v>
      </c>
      <c r="F4" s="93"/>
      <c r="G4" s="93"/>
      <c r="H4" s="178" t="str">
        <f>IF(AND(E8="Low Temperature Heat Pump",E9="Very High Temperature Heat Pump"),"Test data for VHTHP's signifies a flow temperautre greater than 52oC for ErP classification, Change D6 to YES","")</f>
        <v/>
      </c>
      <c r="I4" s="178"/>
      <c r="J4" s="178"/>
      <c r="K4" s="178"/>
      <c r="L4" s="178"/>
      <c r="M4" s="178"/>
      <c r="N4" s="178"/>
      <c r="O4" s="178"/>
      <c r="P4" s="178"/>
      <c r="Q4" s="179"/>
      <c r="R4" s="62"/>
      <c r="S4" s="62"/>
      <c r="T4" s="52"/>
      <c r="X4" s="52"/>
    </row>
    <row r="5" spans="2:36" x14ac:dyDescent="0.2">
      <c r="B5" s="47">
        <v>2</v>
      </c>
      <c r="C5" s="45" t="s">
        <v>154</v>
      </c>
      <c r="D5" s="45"/>
      <c r="E5" s="93" t="s">
        <v>56</v>
      </c>
      <c r="F5" s="93"/>
      <c r="G5" s="93"/>
      <c r="H5" s="183" t="s">
        <v>134</v>
      </c>
      <c r="I5" s="183"/>
      <c r="J5" s="183"/>
      <c r="K5" s="183"/>
      <c r="L5" s="183"/>
      <c r="M5" s="183"/>
      <c r="N5" s="183"/>
      <c r="O5" s="183"/>
      <c r="P5" s="184"/>
      <c r="Q5" s="139"/>
      <c r="S5" s="54"/>
      <c r="T5" s="52"/>
    </row>
    <row r="6" spans="2:36" ht="51" customHeight="1" x14ac:dyDescent="0.2">
      <c r="B6" s="47">
        <v>3</v>
      </c>
      <c r="C6" s="63" t="s">
        <v>147</v>
      </c>
      <c r="D6" s="63"/>
      <c r="E6" s="93" t="s">
        <v>59</v>
      </c>
      <c r="F6" s="93"/>
      <c r="G6" s="93"/>
      <c r="H6" s="183" t="s">
        <v>133</v>
      </c>
      <c r="I6" s="183"/>
      <c r="J6" s="183"/>
      <c r="K6" s="183"/>
      <c r="L6" s="183" t="s">
        <v>121</v>
      </c>
      <c r="M6" s="183"/>
      <c r="N6" s="183"/>
      <c r="O6" s="183" t="s">
        <v>58</v>
      </c>
      <c r="P6" s="184"/>
      <c r="Q6" s="139"/>
    </row>
    <row r="7" spans="2:36" ht="56.25" customHeight="1" x14ac:dyDescent="0.2">
      <c r="B7" s="47">
        <v>4</v>
      </c>
      <c r="C7" s="63" t="s">
        <v>148</v>
      </c>
      <c r="D7" s="63"/>
      <c r="E7" s="93" t="s">
        <v>58</v>
      </c>
      <c r="F7" s="93"/>
      <c r="G7" s="93"/>
      <c r="H7" s="183" t="s">
        <v>55</v>
      </c>
      <c r="I7" s="183"/>
      <c r="J7" s="183"/>
      <c r="K7" s="183"/>
      <c r="L7" s="183" t="s">
        <v>56</v>
      </c>
      <c r="M7" s="183"/>
      <c r="N7" s="183"/>
      <c r="O7" s="183" t="s">
        <v>59</v>
      </c>
      <c r="P7" s="184"/>
      <c r="Q7" s="139"/>
    </row>
    <row r="8" spans="2:36" ht="38.25" customHeight="1" x14ac:dyDescent="0.2">
      <c r="B8" s="64" t="s">
        <v>60</v>
      </c>
      <c r="C8" s="45"/>
      <c r="D8" s="45"/>
      <c r="E8" s="94" t="str">
        <f>IF(E6="Yes","Heat Pump","Low Temperature Heat Pump")</f>
        <v>Low Temperature Heat Pump</v>
      </c>
      <c r="F8" s="94"/>
      <c r="G8" s="94"/>
      <c r="H8" s="183" t="s">
        <v>120</v>
      </c>
      <c r="I8" s="183"/>
      <c r="J8" s="183"/>
      <c r="K8" s="183"/>
      <c r="L8" s="183"/>
      <c r="M8" s="183"/>
      <c r="N8" s="183"/>
      <c r="O8" s="183"/>
      <c r="P8" s="184"/>
      <c r="Q8" s="139"/>
    </row>
    <row r="9" spans="2:36" x14ac:dyDescent="0.25">
      <c r="B9" s="64" t="s">
        <v>61</v>
      </c>
      <c r="C9" s="45"/>
      <c r="D9" s="45"/>
      <c r="E9" s="60" t="str">
        <f>IF(AND(E6="No",E7="No"),"Low Temperature Heat Pump",IF(AND(E6="Yes",E7="No"),"Medium Temperature Heat Pump","High Temperature Heat Pump"))</f>
        <v>High Temperature Heat Pump</v>
      </c>
      <c r="F9" s="60"/>
      <c r="G9" s="60"/>
      <c r="H9" s="184"/>
      <c r="I9" s="184"/>
      <c r="J9" s="184"/>
      <c r="K9" s="184"/>
      <c r="L9" s="184"/>
      <c r="M9" s="184"/>
      <c r="N9" s="184"/>
      <c r="O9" s="184"/>
      <c r="P9" s="184"/>
      <c r="Q9" s="139"/>
      <c r="Z9" s="53"/>
    </row>
    <row r="10" spans="2:36" x14ac:dyDescent="0.25">
      <c r="B10" s="65" t="s">
        <v>101</v>
      </c>
      <c r="C10" s="63"/>
      <c r="D10" s="63"/>
      <c r="E10" s="60" t="str">
        <f>IF($E$4="Air to Air","20oC",IF(E8="Heat Pump","55oC and 35oC","35oC"))</f>
        <v>20oC</v>
      </c>
      <c r="F10" s="60"/>
      <c r="G10" s="60"/>
      <c r="H10" s="184"/>
      <c r="I10" s="184"/>
      <c r="J10" s="184"/>
      <c r="K10" s="184"/>
      <c r="L10" s="184"/>
      <c r="M10" s="184"/>
      <c r="N10" s="184"/>
      <c r="O10" s="184"/>
      <c r="P10" s="184"/>
      <c r="Q10" s="139"/>
      <c r="Z10" s="53"/>
    </row>
    <row r="11" spans="2:36" x14ac:dyDescent="0.25">
      <c r="B11" s="48" t="s">
        <v>150</v>
      </c>
      <c r="C11" s="46"/>
      <c r="D11" s="46"/>
      <c r="E11" s="46"/>
      <c r="F11" s="46"/>
      <c r="G11" s="46"/>
      <c r="H11" s="114"/>
      <c r="I11" s="114"/>
      <c r="J11" s="114"/>
      <c r="K11" s="114"/>
      <c r="L11" s="114"/>
      <c r="M11" s="114"/>
      <c r="N11" s="114"/>
      <c r="O11" s="114"/>
      <c r="P11" s="114"/>
      <c r="Q11" s="139"/>
      <c r="Z11" s="53"/>
    </row>
    <row r="12" spans="2:36" ht="15.75" customHeight="1" x14ac:dyDescent="0.25">
      <c r="B12" s="252" t="s">
        <v>156</v>
      </c>
      <c r="C12" s="253"/>
      <c r="D12" s="253"/>
      <c r="E12" s="253"/>
      <c r="F12" s="253"/>
      <c r="G12" s="253"/>
      <c r="H12" s="114"/>
      <c r="I12" s="114"/>
      <c r="J12" s="114"/>
      <c r="K12" s="114"/>
      <c r="L12" s="114"/>
      <c r="M12" s="114"/>
      <c r="N12" s="114"/>
      <c r="O12" s="114"/>
      <c r="P12" s="114"/>
      <c r="Q12" s="139"/>
      <c r="Z12" s="53"/>
    </row>
    <row r="13" spans="2:36" ht="15.75" customHeight="1" x14ac:dyDescent="0.25">
      <c r="B13" s="149" t="s">
        <v>157</v>
      </c>
      <c r="C13" s="150"/>
      <c r="D13" s="150"/>
      <c r="E13" s="150"/>
      <c r="F13" s="150"/>
      <c r="G13" s="150"/>
      <c r="H13" s="114"/>
      <c r="I13" s="114"/>
      <c r="J13" s="114"/>
      <c r="K13" s="114"/>
      <c r="L13" s="114"/>
      <c r="M13" s="114"/>
      <c r="N13" s="114"/>
      <c r="O13" s="114"/>
      <c r="P13" s="114"/>
      <c r="Q13" s="139"/>
    </row>
    <row r="14" spans="2:36" ht="15.75" customHeight="1" x14ac:dyDescent="0.25">
      <c r="B14" s="254" t="s">
        <v>158</v>
      </c>
      <c r="C14" s="200"/>
      <c r="D14" s="200"/>
      <c r="E14" s="200"/>
      <c r="F14" s="200"/>
      <c r="G14" s="200"/>
      <c r="H14" s="114"/>
      <c r="I14" s="114"/>
      <c r="J14" s="114"/>
      <c r="K14" s="114"/>
      <c r="L14" s="114"/>
      <c r="M14" s="114"/>
      <c r="N14" s="114"/>
      <c r="O14" s="114"/>
      <c r="P14" s="114"/>
      <c r="Q14" s="180"/>
    </row>
    <row r="15" spans="2:36" ht="15" x14ac:dyDescent="0.25">
      <c r="B15" s="197" t="s">
        <v>152</v>
      </c>
      <c r="C15" s="193"/>
      <c r="D15" s="193"/>
      <c r="E15" s="193"/>
      <c r="F15" s="193"/>
      <c r="G15" s="193"/>
      <c r="H15" s="193"/>
      <c r="I15" s="193"/>
      <c r="J15" s="193"/>
      <c r="K15" s="193"/>
      <c r="L15" s="193"/>
      <c r="M15" s="193"/>
      <c r="N15" s="193"/>
      <c r="O15" s="193"/>
      <c r="P15" s="181"/>
      <c r="Q15" s="180"/>
    </row>
    <row r="16" spans="2:36" x14ac:dyDescent="0.25">
      <c r="B16" s="120" t="s">
        <v>151</v>
      </c>
      <c r="C16" s="121"/>
      <c r="D16" s="121"/>
      <c r="E16" s="121"/>
      <c r="F16" s="121"/>
      <c r="G16" s="121"/>
      <c r="H16" s="121"/>
      <c r="I16" s="121"/>
      <c r="J16" s="121"/>
      <c r="K16" s="121"/>
      <c r="L16" s="121"/>
      <c r="M16" s="121"/>
      <c r="N16" s="121"/>
      <c r="O16" s="121"/>
      <c r="P16" s="142"/>
      <c r="Q16" s="180"/>
    </row>
    <row r="17" spans="2:42" ht="33.75" customHeight="1" x14ac:dyDescent="0.25">
      <c r="B17" s="245"/>
      <c r="C17" s="246"/>
      <c r="D17" s="115" t="s">
        <v>15</v>
      </c>
      <c r="E17" s="115" t="s">
        <v>136</v>
      </c>
      <c r="F17" s="116" t="str">
        <f>IF($E$5="Variable Outlet","Input flow temperatures","")</f>
        <v>Input flow temperatures</v>
      </c>
      <c r="G17" s="116"/>
      <c r="H17" s="117" t="s">
        <v>130</v>
      </c>
      <c r="I17" s="118" t="s">
        <v>131</v>
      </c>
      <c r="J17" s="119" t="s">
        <v>117</v>
      </c>
      <c r="K17" s="119"/>
      <c r="L17" s="119"/>
      <c r="M17" s="119"/>
      <c r="N17" s="119"/>
      <c r="O17" s="119"/>
      <c r="P17" s="113"/>
      <c r="Q17" s="182"/>
      <c r="X17" s="52"/>
      <c r="Y17" s="52"/>
      <c r="Z17" s="52"/>
      <c r="AH17" s="44"/>
      <c r="AI17" s="44"/>
      <c r="AJ17" s="44"/>
    </row>
    <row r="18" spans="2:42" x14ac:dyDescent="0.25">
      <c r="B18" s="61" t="str">
        <f>IF($E$4="Air to Air","Air to Air Application (20oC)","Low Temperature Application (35oC)")</f>
        <v>Air to Air Application (20oC)</v>
      </c>
      <c r="C18" s="50"/>
      <c r="D18" s="55">
        <v>5</v>
      </c>
      <c r="E18" s="55"/>
      <c r="F18" s="66" t="str">
        <f>IF(H18=(TRUE),IF(I18=(FALSE),"&lt;&lt;&lt; input flow temperature",""),"")</f>
        <v>&lt;&lt;&lt; input flow temperature</v>
      </c>
      <c r="G18" s="66"/>
      <c r="H18" s="36" t="b">
        <f>ISNUMBER(D18)</f>
        <v>1</v>
      </c>
      <c r="I18" s="36" t="b">
        <f>ISNUMBER(E18)</f>
        <v>0</v>
      </c>
      <c r="J18" s="151" t="s">
        <v>124</v>
      </c>
      <c r="K18" s="151"/>
      <c r="L18" s="151"/>
      <c r="M18" s="151"/>
      <c r="N18" s="151"/>
      <c r="O18" s="151"/>
      <c r="P18" s="113"/>
      <c r="Q18" s="182"/>
      <c r="X18" s="52"/>
      <c r="Y18" s="52"/>
      <c r="Z18" s="52"/>
      <c r="AH18" s="44"/>
      <c r="AI18" s="44"/>
      <c r="AJ18" s="44"/>
    </row>
    <row r="19" spans="2:42" x14ac:dyDescent="0.25">
      <c r="B19" s="61" t="str">
        <f>IF($E$4="Air to Air","N/A","Intermediate Temperature Application (45oC)")</f>
        <v>N/A</v>
      </c>
      <c r="C19" s="50"/>
      <c r="D19" s="55"/>
      <c r="E19" s="55"/>
      <c r="F19" s="66" t="str">
        <f>IF(H19=(TRUE),IF(I19=(FALSE),"&lt;&lt;&lt; input flow temperature",""),"")</f>
        <v/>
      </c>
      <c r="G19" s="66"/>
      <c r="H19" s="36" t="b">
        <f>ISNUMBER(D19)</f>
        <v>0</v>
      </c>
      <c r="I19" s="36" t="b">
        <f>ISNUMBER(E19)</f>
        <v>0</v>
      </c>
      <c r="J19" s="151" t="s">
        <v>125</v>
      </c>
      <c r="K19" s="151"/>
      <c r="L19" s="151"/>
      <c r="M19" s="151"/>
      <c r="N19" s="151"/>
      <c r="O19" s="151"/>
      <c r="P19" s="113"/>
      <c r="Q19" s="182"/>
      <c r="X19" s="52"/>
      <c r="Y19" s="52"/>
      <c r="Z19" s="52"/>
      <c r="AH19" s="44"/>
      <c r="AI19" s="44"/>
      <c r="AJ19" s="44"/>
    </row>
    <row r="20" spans="2:42" x14ac:dyDescent="0.25">
      <c r="B20" s="61" t="str">
        <f>IF($E$4="Air to Air","N/A","Medium Temperature Application (55oC)")</f>
        <v>N/A</v>
      </c>
      <c r="C20" s="50"/>
      <c r="D20" s="55"/>
      <c r="E20" s="55"/>
      <c r="F20" s="66" t="str">
        <f>IF(H20=(TRUE),IF(I20=(FALSE),"&lt;&lt;&lt; input flow temperature",""),"")</f>
        <v/>
      </c>
      <c r="G20" s="66"/>
      <c r="H20" s="36" t="b">
        <f>ISNUMBER(D20)</f>
        <v>0</v>
      </c>
      <c r="I20" s="36" t="b">
        <f>ISNUMBER(E20)</f>
        <v>0</v>
      </c>
      <c r="J20" s="151" t="s">
        <v>126</v>
      </c>
      <c r="K20" s="151"/>
      <c r="L20" s="151"/>
      <c r="M20" s="151"/>
      <c r="N20" s="151"/>
      <c r="O20" s="151"/>
      <c r="P20" s="113"/>
      <c r="Q20" s="182"/>
      <c r="X20" s="52"/>
      <c r="Y20" s="52"/>
      <c r="Z20" s="52"/>
      <c r="AH20" s="44"/>
      <c r="AI20" s="44"/>
      <c r="AJ20" s="44"/>
    </row>
    <row r="21" spans="2:42" ht="15.75" customHeight="1" x14ac:dyDescent="0.25">
      <c r="B21" s="61" t="str">
        <f>IF($E$4="Air to Air","N/A","High Temperature Application (65oC)")</f>
        <v>N/A</v>
      </c>
      <c r="C21" s="50"/>
      <c r="D21" s="55"/>
      <c r="E21" s="55"/>
      <c r="F21" s="66" t="str">
        <f>IF(H21=(TRUE),IF(I21=(FALSE),"&lt;&lt;&lt; input flow temperature",""),"")</f>
        <v/>
      </c>
      <c r="G21" s="66"/>
      <c r="H21" s="36" t="b">
        <f>ISNUMBER(D21)</f>
        <v>0</v>
      </c>
      <c r="I21" s="36" t="b">
        <f>ISNUMBER(E21)</f>
        <v>0</v>
      </c>
      <c r="J21" s="151" t="s">
        <v>127</v>
      </c>
      <c r="K21" s="151"/>
      <c r="L21" s="151"/>
      <c r="M21" s="151"/>
      <c r="N21" s="151"/>
      <c r="O21" s="151"/>
      <c r="P21" s="113"/>
      <c r="Q21" s="182"/>
      <c r="X21" s="52"/>
      <c r="Y21" s="52"/>
      <c r="Z21" s="52"/>
      <c r="AH21" s="44"/>
      <c r="AI21" s="44"/>
      <c r="AJ21" s="44"/>
    </row>
    <row r="22" spans="2:42" ht="14.25" customHeight="1" x14ac:dyDescent="0.25">
      <c r="B22" s="192" t="s">
        <v>167</v>
      </c>
      <c r="C22" s="116"/>
      <c r="D22" s="116"/>
      <c r="E22" s="116"/>
      <c r="F22" s="116"/>
      <c r="G22" s="116"/>
      <c r="H22" s="116"/>
      <c r="I22" s="116"/>
      <c r="J22" s="126"/>
      <c r="K22" s="126"/>
      <c r="L22" s="126"/>
      <c r="M22" s="126"/>
      <c r="N22" s="114"/>
      <c r="O22" s="114"/>
      <c r="P22" s="88"/>
      <c r="Q22" s="137"/>
      <c r="R22" s="90"/>
      <c r="S22" s="90"/>
      <c r="AA22" s="44"/>
      <c r="AB22" s="44"/>
      <c r="AC22" s="44"/>
      <c r="AD22" s="44"/>
      <c r="AE22" s="44"/>
      <c r="AF22" s="44"/>
      <c r="AG22" s="44"/>
      <c r="AH22" s="44"/>
      <c r="AI22" s="44"/>
      <c r="AJ22" s="44"/>
    </row>
    <row r="23" spans="2:42" ht="15" customHeight="1" x14ac:dyDescent="0.25">
      <c r="B23" s="127">
        <f>IF($E$4="Air to Air",20,35)</f>
        <v>20</v>
      </c>
      <c r="C23" s="67"/>
      <c r="D23" s="67" t="str">
        <f>IF($E$4="Air to Air","N/A",45)</f>
        <v>N/A</v>
      </c>
      <c r="E23" s="67"/>
      <c r="F23" s="67" t="str">
        <f>IF($E$4="Air to Air","N/A",55)</f>
        <v>N/A</v>
      </c>
      <c r="G23" s="67"/>
      <c r="H23" s="67" t="str">
        <f>IF($E$4="Air to Air","N/A",65)</f>
        <v>N/A</v>
      </c>
      <c r="I23" s="67"/>
      <c r="J23" s="114"/>
      <c r="K23" s="114"/>
      <c r="L23" s="114"/>
      <c r="M23" s="114"/>
      <c r="N23" s="114"/>
      <c r="O23" s="114"/>
      <c r="P23" s="88"/>
      <c r="Q23" s="137"/>
      <c r="R23" s="90"/>
      <c r="S23" s="90"/>
    </row>
    <row r="24" spans="2:42" ht="15.75" customHeight="1" x14ac:dyDescent="0.25">
      <c r="B24" s="128"/>
      <c r="C24" s="68"/>
      <c r="D24" s="69"/>
      <c r="E24" s="69"/>
      <c r="F24" s="69"/>
      <c r="G24" s="69"/>
      <c r="H24" s="69"/>
      <c r="I24" s="69"/>
      <c r="J24" s="114"/>
      <c r="K24" s="114"/>
      <c r="L24" s="114"/>
      <c r="M24" s="114"/>
      <c r="N24" s="114"/>
      <c r="O24" s="114"/>
      <c r="P24" s="89"/>
      <c r="Q24" s="138"/>
      <c r="R24" s="91"/>
      <c r="S24" s="91"/>
    </row>
    <row r="25" spans="2:42" ht="13.5" customHeight="1" x14ac:dyDescent="0.25">
      <c r="B25" s="48" t="s">
        <v>150</v>
      </c>
      <c r="C25" s="46"/>
      <c r="D25" s="46"/>
      <c r="E25" s="46"/>
      <c r="F25" s="46"/>
      <c r="G25" s="46"/>
      <c r="H25" s="46"/>
      <c r="I25" s="46"/>
      <c r="J25" s="114"/>
      <c r="K25" s="114"/>
      <c r="L25" s="114"/>
      <c r="M25" s="114"/>
      <c r="N25" s="114"/>
      <c r="O25" s="114"/>
      <c r="P25" s="114"/>
      <c r="Q25" s="139"/>
      <c r="Z25" s="52"/>
      <c r="AJ25" s="44"/>
    </row>
    <row r="26" spans="2:42" ht="16.5" customHeight="1" x14ac:dyDescent="0.25">
      <c r="B26" s="147" t="s">
        <v>159</v>
      </c>
      <c r="C26" s="148"/>
      <c r="D26" s="148"/>
      <c r="E26" s="148"/>
      <c r="F26" s="148"/>
      <c r="G26" s="148"/>
      <c r="H26" s="148"/>
      <c r="I26" s="148"/>
      <c r="J26" s="114"/>
      <c r="K26" s="114"/>
      <c r="L26" s="114"/>
      <c r="M26" s="114"/>
      <c r="N26" s="114"/>
      <c r="O26" s="114"/>
      <c r="P26" s="114"/>
      <c r="Q26" s="139"/>
      <c r="Z26" s="52"/>
      <c r="AJ26" s="44"/>
    </row>
    <row r="27" spans="2:42" ht="15.75" customHeight="1" x14ac:dyDescent="0.25">
      <c r="B27" s="147" t="s">
        <v>160</v>
      </c>
      <c r="C27" s="148"/>
      <c r="D27" s="148"/>
      <c r="E27" s="148"/>
      <c r="F27" s="148"/>
      <c r="G27" s="148"/>
      <c r="H27" s="148"/>
      <c r="I27" s="148"/>
      <c r="J27" s="114"/>
      <c r="K27" s="114"/>
      <c r="L27" s="114"/>
      <c r="M27" s="114"/>
      <c r="N27" s="114"/>
      <c r="O27" s="114"/>
      <c r="P27" s="114"/>
      <c r="Q27" s="139"/>
      <c r="Z27" s="52"/>
      <c r="AJ27" s="44"/>
    </row>
    <row r="28" spans="2:42" ht="15.75" customHeight="1" x14ac:dyDescent="0.25">
      <c r="B28" s="129" t="s">
        <v>65</v>
      </c>
      <c r="C28" s="102"/>
      <c r="D28" s="101" t="s">
        <v>62</v>
      </c>
      <c r="E28" s="104" t="s">
        <v>67</v>
      </c>
      <c r="F28" s="104"/>
      <c r="G28" s="104" t="s">
        <v>68</v>
      </c>
      <c r="H28" s="104"/>
      <c r="I28" s="104" t="s">
        <v>69</v>
      </c>
      <c r="J28" s="104"/>
      <c r="K28" s="104" t="s">
        <v>70</v>
      </c>
      <c r="L28" s="104"/>
      <c r="M28" s="104" t="s">
        <v>71</v>
      </c>
      <c r="N28" s="104"/>
      <c r="O28" s="104" t="s">
        <v>122</v>
      </c>
      <c r="P28" s="104"/>
      <c r="Q28" s="130" t="s">
        <v>128</v>
      </c>
      <c r="R28" s="78"/>
      <c r="S28" s="78"/>
      <c r="T28" s="78"/>
      <c r="U28" s="78"/>
      <c r="V28" s="78"/>
      <c r="W28" s="78"/>
      <c r="X28" s="78"/>
      <c r="Y28" s="78"/>
      <c r="AA28" s="44"/>
      <c r="AB28" s="44"/>
      <c r="AK28" s="52"/>
      <c r="AL28" s="52"/>
    </row>
    <row r="29" spans="2:42" ht="12.75" customHeight="1" x14ac:dyDescent="0.25">
      <c r="B29" s="129"/>
      <c r="C29" s="102"/>
      <c r="D29" s="103"/>
      <c r="E29" s="84" t="str">
        <f>IF($E$4="Ground Source","B0 / W",IF($E$4="Water Source","W10 / W",IF($E$4="Air to Water","A-7 / W","A-7 / A")))</f>
        <v>A-7 / A</v>
      </c>
      <c r="F29" s="76" t="str">
        <f>IF($E$4="Air to Air","20",IF($E$5="Variable Outlet",VLOOKUP("Low",$AD$33:$AI$36,3,FALSE),VLOOKUP("Low",$AD$33:$AI$36,2,FALSE)))</f>
        <v>20</v>
      </c>
      <c r="G29" s="84" t="str">
        <f>IF($E$4="Ground Source","B0 / W",IF($E$4="Water Source","W10 / W",IF($E$4="Air to Water","A2 / W","A2 / A")))</f>
        <v>A2 / A</v>
      </c>
      <c r="H29" s="76" t="str">
        <f>IF($E$4="Air to Air","20",IF($E$5="Variable Outlet",VLOOKUP("Low",$AD$33:$AI$36,4,FALSE),VLOOKUP("Low",$AD$33:$AI$36,2,FALSE)))</f>
        <v>20</v>
      </c>
      <c r="I29" s="84" t="str">
        <f>IF($E$4="Ground Source","B0 / W",IF($E$4="Water Source","W10 / W",IF($E$4="Air to Water","A7 / W","A7 / A")))</f>
        <v>A7 / A</v>
      </c>
      <c r="J29" s="76" t="str">
        <f>IF($E$4="Air to Air","20",IF($E$5="Variable Outlet",VLOOKUP("Low",$AD$33:$AI$36,5,FALSE),VLOOKUP("Low",$AD$33:$AI$36,2,FALSE)))</f>
        <v>20</v>
      </c>
      <c r="K29" s="84" t="str">
        <f>IF($E$4="Ground Source","B0 / W",IF($E$4="Water Source","W10 / W",IF($E$4="Air to Water","A12 / W","A12 / A")))</f>
        <v>A12 / A</v>
      </c>
      <c r="L29" s="76" t="str">
        <f>IF($E$4="Air to Air","20",IF($E$5="Variable Outlet",VLOOKUP("Low",$AD$33:$AI$36,6,FALSE),VLOOKUP("Low",$AD$33:$AI$36,2,FALSE)))</f>
        <v>20</v>
      </c>
      <c r="M29" s="84" t="str">
        <f>IF($E$4="Ground Source","B0 / W",IF($E$4="Water Source","W10 / W",IF($E$4="Air to Water","A-10 / W","A-10 / A")))</f>
        <v>A-10 / A</v>
      </c>
      <c r="N29" s="76" t="str">
        <f>IF($E$4="Air to Air","20",IF($E$5="Variable Outlet",VLOOKUP("Low",$AD$33:$AI$36,2,FALSE),VLOOKUP("Low",$AD$33:$AI$36,2,FALSE)))</f>
        <v>20</v>
      </c>
      <c r="O29" s="84" t="str">
        <f>IF(D18="","N/A",IF($E$4="Ground Source","B0 / W",IF($E$4="Water Source","W10 / W",IF($E$4="Air to Water","A(Tbiv) / W","A(Tbiv) / A"))))</f>
        <v>A(Tbiv) / A</v>
      </c>
      <c r="P29" s="83" t="str">
        <f>IF(E18="","",E18)</f>
        <v/>
      </c>
      <c r="Q29" s="131"/>
      <c r="R29" s="70"/>
      <c r="S29" s="70"/>
      <c r="T29" s="70"/>
      <c r="U29" s="70"/>
      <c r="V29" s="70"/>
      <c r="W29" s="70"/>
      <c r="X29" s="70"/>
      <c r="Y29" s="70"/>
      <c r="AA29" s="44"/>
      <c r="AB29" s="53"/>
      <c r="AK29" s="52"/>
      <c r="AL29" s="52"/>
      <c r="AM29" s="53"/>
      <c r="AN29" s="53"/>
      <c r="AO29" s="53"/>
      <c r="AP29" s="53"/>
    </row>
    <row r="30" spans="2:42" ht="15" customHeight="1" x14ac:dyDescent="0.25">
      <c r="B30" s="132" t="str">
        <f>IF($E$4="Air to Air","Air to Air Application (20oC)","Low Temperature Application (35oC)                                          EN 14825:2013 - Table 12 (ASHP) or Table 24 (GSHP)")</f>
        <v>Air to Air Application (20oC)</v>
      </c>
      <c r="C30" s="98"/>
      <c r="D30" s="36" t="s">
        <v>63</v>
      </c>
      <c r="E30" s="81"/>
      <c r="F30" s="82"/>
      <c r="G30" s="81"/>
      <c r="H30" s="82"/>
      <c r="I30" s="81"/>
      <c r="J30" s="82"/>
      <c r="K30" s="81"/>
      <c r="L30" s="82"/>
      <c r="M30" s="81"/>
      <c r="N30" s="82"/>
      <c r="O30" s="81"/>
      <c r="P30" s="82"/>
      <c r="Q30" s="146" t="s">
        <v>66</v>
      </c>
      <c r="R30" s="70"/>
      <c r="S30" s="70"/>
      <c r="T30" s="70"/>
      <c r="U30" s="70"/>
      <c r="V30" s="70"/>
      <c r="W30" s="70"/>
      <c r="X30" s="70"/>
      <c r="Y30" s="70"/>
      <c r="AA30" s="44"/>
      <c r="AB30" s="53"/>
      <c r="AD30" s="71"/>
      <c r="AE30" s="71" t="s">
        <v>47</v>
      </c>
      <c r="AF30" s="71"/>
      <c r="AG30" s="71"/>
      <c r="AH30" s="71"/>
      <c r="AI30" s="71"/>
      <c r="AK30" s="52"/>
      <c r="AL30" s="52"/>
      <c r="AM30" s="53"/>
      <c r="AN30" s="53"/>
      <c r="AO30" s="53"/>
      <c r="AP30" s="53"/>
    </row>
    <row r="31" spans="2:42" ht="15" customHeight="1" x14ac:dyDescent="0.25">
      <c r="B31" s="132"/>
      <c r="C31" s="98"/>
      <c r="D31" s="36" t="s">
        <v>64</v>
      </c>
      <c r="E31" s="74"/>
      <c r="F31" s="75"/>
      <c r="G31" s="74"/>
      <c r="H31" s="75"/>
      <c r="I31" s="74"/>
      <c r="J31" s="75"/>
      <c r="K31" s="74"/>
      <c r="L31" s="75"/>
      <c r="M31" s="74"/>
      <c r="N31" s="75"/>
      <c r="O31" s="74"/>
      <c r="P31" s="75"/>
      <c r="Q31" s="146" t="s">
        <v>66</v>
      </c>
      <c r="R31" s="70"/>
      <c r="S31" s="70"/>
      <c r="T31" s="70"/>
      <c r="U31" s="70"/>
      <c r="V31" s="70"/>
      <c r="W31" s="70"/>
      <c r="X31" s="70"/>
      <c r="Y31" s="70"/>
      <c r="AA31" s="44"/>
      <c r="AB31" s="53"/>
      <c r="AD31" s="71"/>
      <c r="AE31" s="71" t="s">
        <v>57</v>
      </c>
      <c r="AF31" s="72"/>
      <c r="AG31" s="72"/>
      <c r="AH31" s="72"/>
      <c r="AI31" s="72"/>
      <c r="AK31" s="52"/>
      <c r="AL31" s="52"/>
      <c r="AM31" s="53"/>
      <c r="AN31" s="53"/>
      <c r="AO31" s="53"/>
      <c r="AP31" s="53"/>
    </row>
    <row r="32" spans="2:42" ht="15.75" customHeight="1" x14ac:dyDescent="0.25">
      <c r="B32" s="133"/>
      <c r="C32" s="99"/>
      <c r="D32" s="85" t="s">
        <v>46</v>
      </c>
      <c r="E32" s="79"/>
      <c r="F32" s="80"/>
      <c r="G32" s="79"/>
      <c r="H32" s="80"/>
      <c r="I32" s="79"/>
      <c r="J32" s="80"/>
      <c r="K32" s="79"/>
      <c r="L32" s="80"/>
      <c r="M32" s="79"/>
      <c r="N32" s="80"/>
      <c r="O32" s="79"/>
      <c r="P32" s="80"/>
      <c r="Q32" s="146" t="s">
        <v>72</v>
      </c>
      <c r="R32" s="70"/>
      <c r="S32" s="70"/>
      <c r="T32" s="70"/>
      <c r="U32" s="70"/>
      <c r="V32" s="70"/>
      <c r="W32" s="70"/>
      <c r="X32" s="70"/>
      <c r="Y32" s="70"/>
      <c r="AA32" s="44"/>
      <c r="AB32" s="53"/>
      <c r="AD32" s="71"/>
      <c r="AE32" s="71">
        <v>-10</v>
      </c>
      <c r="AF32" s="71">
        <v>-7</v>
      </c>
      <c r="AG32" s="71">
        <v>2</v>
      </c>
      <c r="AH32" s="71">
        <v>7</v>
      </c>
      <c r="AI32" s="71">
        <v>12</v>
      </c>
      <c r="AK32" s="52"/>
      <c r="AL32" s="52"/>
      <c r="AM32" s="53"/>
      <c r="AN32" s="53"/>
      <c r="AO32" s="53"/>
      <c r="AP32" s="53"/>
    </row>
    <row r="33" spans="2:42" ht="15" customHeight="1" x14ac:dyDescent="0.25">
      <c r="B33" s="134"/>
      <c r="C33" s="86"/>
      <c r="D33" s="87"/>
      <c r="E33" s="96" t="str">
        <f>IF($E$4="Ground Source","B0 / W",IF($E$4="Water Source","W10 / W",IF($E$4="Air to Water","A-7 / W","A-7 / A")))</f>
        <v>A-7 / A</v>
      </c>
      <c r="F33" s="76" t="str">
        <f>IF($E$4="Air to Air","20",IF($E$5="Variable Outlet",VLOOKUP("High",$AD$33:$AI$36,3,FALSE),VLOOKUP("High",$AD$33:$AI$36,2,FALSE)))</f>
        <v>20</v>
      </c>
      <c r="G33" s="84" t="str">
        <f>IF($E$4="Ground Source","B0 / W",IF($E$4="Water Source","W10 / W",IF($E$4="Air to Water","A2 / W","A2 / A")))</f>
        <v>A2 / A</v>
      </c>
      <c r="H33" s="76" t="str">
        <f>IF($E$4="Air to Air","20",IF($E$5="Variable Outlet",VLOOKUP("High",$AD$33:$AI$36,4,FALSE),VLOOKUP("High",$AD$33:$AI$36,2,FALSE)))</f>
        <v>20</v>
      </c>
      <c r="I33" s="84" t="str">
        <f>IF($E$4="Ground Source","B0 / W",IF($E$4="Water Source","W10 / W",IF($E$4="Air to Water","A7 / W","A7 / A")))</f>
        <v>A7 / A</v>
      </c>
      <c r="J33" s="76" t="str">
        <f>IF($E$4="Air to Air","20",IF($E$5="Variable Outlet",VLOOKUP("High",$AD$33:$AI$36,5,FALSE),VLOOKUP("High",$AD$33:$AI$36,2,FALSE)))</f>
        <v>20</v>
      </c>
      <c r="K33" s="84" t="str">
        <f>IF($E$4="Ground Source","B0 / W",IF($E$4="Water Source","W10 / W",IF($E$4="Air to Water","A12 / W","A12 / A")))</f>
        <v>A12 / A</v>
      </c>
      <c r="L33" s="76" t="str">
        <f>IF($E$4="Air to Air","20",IF($E$5="Variable Outlet",VLOOKUP("High",$AD$33:$AI$36,6,FALSE),VLOOKUP("High",$AD$33:$AI$36,2,FALSE)))</f>
        <v>20</v>
      </c>
      <c r="M33" s="84" t="str">
        <f>IF($E$4="Ground Source","B0 / W",IF($E$4="Water Source","W10 / W",IF($E$4="Air to Water","A-10 / W","A-10 / A")))</f>
        <v>A-10 / A</v>
      </c>
      <c r="N33" s="76" t="str">
        <f>IF($E$4="Air to Air","20",IF($E$5="Variable Outlet",VLOOKUP("High",$AD$33:$AI$36,2,FALSE),VLOOKUP("High",$AD$33:$AI$36,2,FALSE)))</f>
        <v>20</v>
      </c>
      <c r="O33" s="84" t="str">
        <f>IF(D20="","N/A",IF($E$4="Ground Source","B0 / W",IF($E$4="Water Source","W10 / W",IF($E$4="Air to Water","A(Tbiv) / W","A(Tbiv) / A"))))</f>
        <v>N/A</v>
      </c>
      <c r="P33" s="83" t="str">
        <f>IF(N22="","",N22)</f>
        <v/>
      </c>
      <c r="Q33" s="135"/>
      <c r="R33" s="70"/>
      <c r="S33" s="70"/>
      <c r="T33" s="70"/>
      <c r="U33" s="70"/>
      <c r="V33" s="70"/>
      <c r="W33" s="70"/>
      <c r="X33" s="70"/>
      <c r="Y33" s="70"/>
      <c r="AA33" s="44"/>
      <c r="AB33" s="44"/>
      <c r="AD33" s="71" t="s">
        <v>12</v>
      </c>
      <c r="AE33" s="71">
        <v>35</v>
      </c>
      <c r="AF33" s="71">
        <v>34</v>
      </c>
      <c r="AG33" s="71">
        <v>30</v>
      </c>
      <c r="AH33" s="71">
        <v>27</v>
      </c>
      <c r="AI33" s="71">
        <v>24</v>
      </c>
      <c r="AK33" s="52"/>
      <c r="AL33" s="52"/>
      <c r="AM33" s="53"/>
      <c r="AN33" s="53"/>
      <c r="AO33" s="53"/>
      <c r="AP33" s="53"/>
    </row>
    <row r="34" spans="2:42" ht="15" customHeight="1" x14ac:dyDescent="0.25">
      <c r="B34" s="136" t="str">
        <f>IF($E$4="Air to Air","N/A for Air to Air Heat Pumps","Medium Temperature Application (55oC)                                          EN 14825:2013 - Table 18 (ASHP) or Table 30 (GSHP)")</f>
        <v>N/A for Air to Air Heat Pumps</v>
      </c>
      <c r="C34" s="100"/>
      <c r="D34" s="58" t="s">
        <v>63</v>
      </c>
      <c r="E34" s="81"/>
      <c r="F34" s="82"/>
      <c r="G34" s="81"/>
      <c r="H34" s="82"/>
      <c r="I34" s="81"/>
      <c r="J34" s="82"/>
      <c r="K34" s="81"/>
      <c r="L34" s="82"/>
      <c r="M34" s="81"/>
      <c r="N34" s="82"/>
      <c r="O34" s="81"/>
      <c r="P34" s="82"/>
      <c r="Q34" s="146" t="str">
        <f>IF($E$8="Heat Pump","Performance data required","Not applicable")</f>
        <v>Not applicable</v>
      </c>
      <c r="R34" s="70"/>
      <c r="S34" s="70"/>
      <c r="T34" s="70"/>
      <c r="U34" s="70"/>
      <c r="V34" s="70"/>
      <c r="W34" s="70"/>
      <c r="X34" s="70"/>
      <c r="Y34" s="70"/>
      <c r="AA34" s="44"/>
      <c r="AB34" s="44"/>
      <c r="AD34" s="71" t="s">
        <v>13</v>
      </c>
      <c r="AE34" s="71">
        <v>45</v>
      </c>
      <c r="AF34" s="71">
        <v>43</v>
      </c>
      <c r="AG34" s="71">
        <v>37</v>
      </c>
      <c r="AH34" s="71">
        <v>33</v>
      </c>
      <c r="AI34" s="71">
        <v>28</v>
      </c>
      <c r="AK34" s="52"/>
      <c r="AL34" s="52"/>
      <c r="AM34" s="53"/>
      <c r="AN34" s="53"/>
      <c r="AO34" s="53"/>
      <c r="AP34" s="53"/>
    </row>
    <row r="35" spans="2:42" ht="15" customHeight="1" x14ac:dyDescent="0.25">
      <c r="B35" s="132"/>
      <c r="C35" s="98"/>
      <c r="D35" s="36" t="s">
        <v>64</v>
      </c>
      <c r="E35" s="74"/>
      <c r="F35" s="75"/>
      <c r="G35" s="74"/>
      <c r="H35" s="75"/>
      <c r="I35" s="74"/>
      <c r="J35" s="75"/>
      <c r="K35" s="74"/>
      <c r="L35" s="75"/>
      <c r="M35" s="74"/>
      <c r="N35" s="75"/>
      <c r="O35" s="74"/>
      <c r="P35" s="75"/>
      <c r="Q35" s="146" t="str">
        <f>IF($E$8="Heat Pump","Performance data required","Not applicable")</f>
        <v>Not applicable</v>
      </c>
      <c r="R35" s="70"/>
      <c r="S35" s="70"/>
      <c r="T35" s="70"/>
      <c r="U35" s="70"/>
      <c r="V35" s="70"/>
      <c r="W35" s="70"/>
      <c r="X35" s="70"/>
      <c r="Y35" s="70"/>
      <c r="AA35" s="44"/>
      <c r="AB35" s="44"/>
      <c r="AD35" s="71" t="s">
        <v>14</v>
      </c>
      <c r="AE35" s="71">
        <v>55</v>
      </c>
      <c r="AF35" s="71">
        <v>52</v>
      </c>
      <c r="AG35" s="71">
        <v>42</v>
      </c>
      <c r="AH35" s="71">
        <v>36</v>
      </c>
      <c r="AI35" s="71">
        <v>30</v>
      </c>
      <c r="AK35" s="52"/>
      <c r="AL35" s="52"/>
      <c r="AM35" s="53"/>
      <c r="AN35" s="53"/>
      <c r="AO35" s="53"/>
      <c r="AP35" s="53"/>
    </row>
    <row r="36" spans="2:42" ht="15.75" customHeight="1" x14ac:dyDescent="0.25">
      <c r="B36" s="133"/>
      <c r="C36" s="99"/>
      <c r="D36" s="85" t="s">
        <v>46</v>
      </c>
      <c r="E36" s="79"/>
      <c r="F36" s="80"/>
      <c r="G36" s="79"/>
      <c r="H36" s="80"/>
      <c r="I36" s="79"/>
      <c r="J36" s="80"/>
      <c r="K36" s="79"/>
      <c r="L36" s="80"/>
      <c r="M36" s="79"/>
      <c r="N36" s="80"/>
      <c r="O36" s="79"/>
      <c r="P36" s="80"/>
      <c r="Q36" s="146" t="s">
        <v>72</v>
      </c>
      <c r="R36" s="70"/>
      <c r="S36" s="70"/>
      <c r="T36" s="70"/>
      <c r="U36" s="70"/>
      <c r="V36" s="70"/>
      <c r="W36" s="70"/>
      <c r="X36" s="70"/>
      <c r="Y36" s="70"/>
      <c r="AA36" s="44"/>
      <c r="AB36" s="44"/>
      <c r="AD36" s="71" t="s">
        <v>45</v>
      </c>
      <c r="AE36" s="71">
        <v>65</v>
      </c>
      <c r="AF36" s="71">
        <v>61</v>
      </c>
      <c r="AG36" s="71">
        <v>49</v>
      </c>
      <c r="AH36" s="71">
        <v>41</v>
      </c>
      <c r="AI36" s="71">
        <v>32</v>
      </c>
      <c r="AK36" s="52"/>
      <c r="AL36" s="52"/>
      <c r="AM36" s="53"/>
      <c r="AN36" s="53"/>
      <c r="AO36" s="53"/>
      <c r="AP36" s="53"/>
    </row>
    <row r="37" spans="2:42" ht="15" customHeight="1" x14ac:dyDescent="0.25">
      <c r="B37" s="134"/>
      <c r="C37" s="86"/>
      <c r="D37" s="87"/>
      <c r="E37" s="96" t="str">
        <f>IF($E$4="Ground Source","B0 / W",IF($E$4="Water Source","W10 / W",IF($E$4="Air to Water","A-7 / W","A-7 / A")))</f>
        <v>A-7 / A</v>
      </c>
      <c r="F37" s="76" t="str">
        <f>IF($E$4="Air to Air","20",IF($E$5="Variable Outlet",VLOOKUP("Very High",$AD$33:$AI$36,3,FALSE),VLOOKUP("Very High",$AD$33:$AI$36,2,FALSE)))</f>
        <v>20</v>
      </c>
      <c r="G37" s="84" t="str">
        <f>IF($E$4="Ground Source","B0 / W",IF($E$4="Water Source","W10 / W",IF($E$4="Air to Water","A2 / W","A2 / A")))</f>
        <v>A2 / A</v>
      </c>
      <c r="H37" s="97" t="str">
        <f>IF($E$4="Air to Air","20",IF($E$5="Variable Outlet",VLOOKUP("Very High",$AD$33:$AI$36,4,FALSE),VLOOKUP("Very High",$AD$33:$AI$36,2,FALSE)))</f>
        <v>20</v>
      </c>
      <c r="I37" s="84" t="str">
        <f>IF($E$4="Ground Source","B0 / W",IF($E$4="Water Source","W10 / W",IF($E$4="Air to Water","A7 / W","A7 / A")))</f>
        <v>A7 / A</v>
      </c>
      <c r="J37" s="76" t="str">
        <f>IF($E$4="Air to Air","20",IF($E$5="Variable Outlet",VLOOKUP("Very High",$AD$33:$AI$36,5,FALSE),VLOOKUP("Very High",$AD$33:$AI$36,2,FALSE)))</f>
        <v>20</v>
      </c>
      <c r="K37" s="84" t="str">
        <f>IF($E$4="Ground Source","B0 / W",IF($E$4="Water Source","W10 / W",IF($E$4="Air to Water","A12 / W","A12 / A")))</f>
        <v>A12 / A</v>
      </c>
      <c r="L37" s="76" t="str">
        <f>IF($E$4="Air to Air","20",IF($E$5="Variable Outlet",VLOOKUP("Very High",$AD$33:$AI$36,6,FALSE),VLOOKUP("Very High",$AD$33:$AI$36,2,FALSE)))</f>
        <v>20</v>
      </c>
      <c r="M37" s="84" t="str">
        <f>IF($E$4="Ground Source","B0 / W",IF($E$4="Water Source","W10 / W",IF($E$4="Air to Water","A-10 / W","A-10 / A")))</f>
        <v>A-10 / A</v>
      </c>
      <c r="N37" s="76" t="str">
        <f>IF($E$4="Air to Air","20",IF($E$5="Variable Outlet",VLOOKUP("Very High",$AD$33:$AI$36,2,FALSE),VLOOKUP("Very High",$AD$33:$AI$36,2,FALSE)))</f>
        <v>20</v>
      </c>
      <c r="O37" s="84" t="str">
        <f>IF(D21="","N/A",IF($E$4="Ground Source","B0 / W",IF($E$4="Water Source","W10 / W",IF($E$4="Air to Water","A(Tbiv) / W","A(Tbiv) / A"))))</f>
        <v>N/A</v>
      </c>
      <c r="P37" s="83" t="str">
        <f>IF(J25="","",J25)</f>
        <v/>
      </c>
      <c r="Q37" s="135"/>
      <c r="R37" s="70"/>
      <c r="S37" s="70"/>
      <c r="T37" s="70"/>
      <c r="U37" s="70"/>
      <c r="V37" s="70"/>
      <c r="W37" s="70"/>
      <c r="X37" s="70"/>
      <c r="Y37" s="70"/>
      <c r="AA37" s="44"/>
      <c r="AB37" s="44"/>
      <c r="AD37" s="71"/>
      <c r="AE37" s="71"/>
      <c r="AF37" s="71"/>
      <c r="AG37" s="71"/>
      <c r="AH37" s="71"/>
      <c r="AI37" s="71"/>
      <c r="AK37" s="52"/>
      <c r="AL37" s="52"/>
      <c r="AM37" s="53"/>
      <c r="AN37" s="53"/>
      <c r="AO37" s="53"/>
      <c r="AP37" s="53"/>
    </row>
    <row r="38" spans="2:42" ht="15" customHeight="1" x14ac:dyDescent="0.25">
      <c r="B38" s="136" t="str">
        <f>IF($E$4="Air to Air","N/A for Air to Air Heat Pumps","High Temperature Application (65oC)                                          EN 14825:2013 - Table 21 (ASHP) or Table 33 (GSHP)")</f>
        <v>N/A for Air to Air Heat Pumps</v>
      </c>
      <c r="C38" s="100"/>
      <c r="D38" s="58" t="s">
        <v>63</v>
      </c>
      <c r="E38" s="81"/>
      <c r="F38" s="82"/>
      <c r="G38" s="81"/>
      <c r="H38" s="82"/>
      <c r="I38" s="95"/>
      <c r="J38" s="95"/>
      <c r="K38" s="95"/>
      <c r="L38" s="95"/>
      <c r="M38" s="95"/>
      <c r="N38" s="95"/>
      <c r="O38" s="95"/>
      <c r="P38" s="95"/>
      <c r="Q38" s="146" t="str">
        <f>IF($E$9="Very High Temperature Heat Pump","Performance data required","Not applicable")</f>
        <v>Not applicable</v>
      </c>
      <c r="R38" s="70"/>
      <c r="S38" s="70"/>
      <c r="T38" s="70"/>
      <c r="U38" s="70"/>
      <c r="V38" s="70"/>
      <c r="W38" s="70"/>
      <c r="X38" s="70"/>
      <c r="Y38" s="70"/>
      <c r="AA38" s="44"/>
      <c r="AB38" s="44"/>
      <c r="AK38" s="52"/>
      <c r="AL38" s="52"/>
      <c r="AM38" s="53"/>
      <c r="AN38" s="53"/>
      <c r="AO38" s="53"/>
      <c r="AP38" s="53"/>
    </row>
    <row r="39" spans="2:42" ht="15" customHeight="1" x14ac:dyDescent="0.25">
      <c r="B39" s="132"/>
      <c r="C39" s="98"/>
      <c r="D39" s="36" t="s">
        <v>64</v>
      </c>
      <c r="E39" s="74"/>
      <c r="F39" s="75"/>
      <c r="G39" s="74"/>
      <c r="H39" s="75"/>
      <c r="I39" s="73"/>
      <c r="J39" s="73"/>
      <c r="K39" s="73"/>
      <c r="L39" s="73"/>
      <c r="M39" s="73"/>
      <c r="N39" s="73"/>
      <c r="O39" s="73"/>
      <c r="P39" s="73"/>
      <c r="Q39" s="146" t="str">
        <f>IF($E$9="Very High Temperature Heat Pump","Performance data required","Not applicable")</f>
        <v>Not applicable</v>
      </c>
      <c r="R39" s="70"/>
      <c r="S39" s="70"/>
      <c r="T39" s="70"/>
      <c r="U39" s="70"/>
      <c r="V39" s="70"/>
      <c r="W39" s="70"/>
      <c r="X39" s="70"/>
      <c r="Y39" s="70"/>
      <c r="AA39" s="44"/>
      <c r="AB39" s="44"/>
      <c r="AK39" s="52"/>
      <c r="AL39" s="52"/>
      <c r="AM39" s="53"/>
      <c r="AN39" s="53"/>
      <c r="AO39" s="53"/>
      <c r="AP39" s="53"/>
    </row>
    <row r="40" spans="2:42" ht="15.75" customHeight="1" x14ac:dyDescent="0.25">
      <c r="B40" s="132"/>
      <c r="C40" s="98"/>
      <c r="D40" s="36" t="s">
        <v>46</v>
      </c>
      <c r="E40" s="74"/>
      <c r="F40" s="75"/>
      <c r="G40" s="74"/>
      <c r="H40" s="75"/>
      <c r="I40" s="73"/>
      <c r="J40" s="73"/>
      <c r="K40" s="73"/>
      <c r="L40" s="73"/>
      <c r="M40" s="73"/>
      <c r="N40" s="73"/>
      <c r="O40" s="73"/>
      <c r="P40" s="73"/>
      <c r="Q40" s="146" t="s">
        <v>72</v>
      </c>
      <c r="R40" s="70"/>
      <c r="S40" s="70"/>
      <c r="T40" s="70"/>
      <c r="U40" s="70"/>
      <c r="V40" s="70"/>
      <c r="W40" s="70"/>
      <c r="X40" s="70"/>
      <c r="Y40" s="70"/>
      <c r="AA40" s="44"/>
      <c r="AB40" s="44"/>
      <c r="AK40" s="52"/>
      <c r="AL40" s="52"/>
      <c r="AM40" s="53"/>
      <c r="AN40" s="53"/>
      <c r="AO40" s="53"/>
      <c r="AP40" s="53"/>
    </row>
    <row r="41" spans="2:42" ht="15.75" customHeight="1" x14ac:dyDescent="0.25">
      <c r="B41" s="249" t="s">
        <v>150</v>
      </c>
      <c r="C41" s="250"/>
      <c r="D41" s="250"/>
      <c r="E41" s="250"/>
      <c r="F41" s="250"/>
      <c r="G41" s="250"/>
      <c r="H41" s="250"/>
      <c r="I41" s="251"/>
      <c r="J41" s="251"/>
      <c r="K41" s="140"/>
      <c r="L41" s="140"/>
      <c r="M41" s="140"/>
      <c r="N41" s="140"/>
      <c r="O41" s="140"/>
      <c r="P41" s="140"/>
      <c r="Q41" s="141"/>
      <c r="R41" s="70"/>
      <c r="S41" s="70"/>
      <c r="T41" s="70"/>
      <c r="U41" s="70"/>
      <c r="V41" s="70"/>
      <c r="W41" s="70"/>
      <c r="X41" s="70"/>
      <c r="Y41" s="70"/>
      <c r="AA41" s="44"/>
      <c r="AB41" s="44"/>
      <c r="AK41" s="52"/>
      <c r="AL41" s="52"/>
      <c r="AM41" s="53"/>
      <c r="AN41" s="53"/>
      <c r="AO41" s="53"/>
      <c r="AP41" s="53"/>
    </row>
    <row r="42" spans="2:42" ht="12.75" customHeight="1" x14ac:dyDescent="0.25">
      <c r="B42" s="147" t="s">
        <v>76</v>
      </c>
      <c r="C42" s="148"/>
      <c r="D42" s="148"/>
      <c r="E42" s="148"/>
      <c r="F42" s="148"/>
      <c r="G42" s="148"/>
      <c r="H42" s="148"/>
      <c r="I42" s="148"/>
      <c r="J42" s="148"/>
      <c r="K42" s="88"/>
      <c r="L42" s="88"/>
      <c r="M42" s="88"/>
      <c r="N42" s="88"/>
      <c r="O42" s="88"/>
      <c r="P42" s="88"/>
      <c r="Q42" s="137"/>
      <c r="AK42" s="53"/>
      <c r="AL42" s="53"/>
      <c r="AM42" s="53"/>
      <c r="AN42" s="53"/>
    </row>
    <row r="43" spans="2:42" ht="12.75" customHeight="1" x14ac:dyDescent="0.25">
      <c r="B43" s="149" t="s">
        <v>161</v>
      </c>
      <c r="C43" s="150"/>
      <c r="D43" s="150"/>
      <c r="E43" s="150"/>
      <c r="F43" s="150"/>
      <c r="G43" s="150"/>
      <c r="H43" s="150"/>
      <c r="I43" s="150"/>
      <c r="J43" s="150"/>
      <c r="K43" s="142"/>
      <c r="L43" s="142"/>
      <c r="M43" s="142"/>
      <c r="N43" s="142"/>
      <c r="O43" s="142"/>
      <c r="P43" s="142"/>
      <c r="Q43" s="143"/>
      <c r="AK43" s="53"/>
      <c r="AL43" s="53"/>
      <c r="AM43" s="53"/>
      <c r="AN43" s="53"/>
    </row>
    <row r="44" spans="2:42" ht="12.75" customHeight="1" x14ac:dyDescent="0.25">
      <c r="B44" s="149" t="s">
        <v>97</v>
      </c>
      <c r="C44" s="150"/>
      <c r="D44" s="150"/>
      <c r="E44" s="150"/>
      <c r="F44" s="150"/>
      <c r="G44" s="150"/>
      <c r="H44" s="150"/>
      <c r="I44" s="150"/>
      <c r="J44" s="150"/>
      <c r="K44" s="142"/>
      <c r="L44" s="142"/>
      <c r="M44" s="142"/>
      <c r="N44" s="142"/>
      <c r="O44" s="142"/>
      <c r="P44" s="142"/>
      <c r="Q44" s="143"/>
      <c r="AK44" s="53"/>
      <c r="AL44" s="53"/>
      <c r="AM44" s="53"/>
      <c r="AN44" s="53"/>
    </row>
    <row r="45" spans="2:42" ht="15" customHeight="1" x14ac:dyDescent="0.25">
      <c r="B45" s="161" t="s">
        <v>77</v>
      </c>
      <c r="C45" s="162"/>
      <c r="D45" s="202"/>
      <c r="E45" s="203" t="s">
        <v>162</v>
      </c>
      <c r="F45" s="201" t="s">
        <v>166</v>
      </c>
      <c r="G45" s="201"/>
      <c r="H45" s="201"/>
      <c r="I45" s="201"/>
      <c r="J45" s="201"/>
      <c r="K45" s="201"/>
      <c r="L45" s="201"/>
      <c r="M45" s="114"/>
      <c r="N45" s="114"/>
      <c r="O45" s="114"/>
      <c r="P45" s="114"/>
      <c r="Q45" s="139"/>
      <c r="U45" s="52" t="str">
        <f>IF(AND(E4="Air Source",D45&gt;-7),"CHECK TOL","")</f>
        <v/>
      </c>
    </row>
    <row r="46" spans="2:42" ht="15" customHeight="1" x14ac:dyDescent="0.25">
      <c r="B46" s="65" t="s">
        <v>163</v>
      </c>
      <c r="C46" s="63"/>
      <c r="D46" s="56"/>
      <c r="E46" s="40" t="s">
        <v>20</v>
      </c>
      <c r="F46" s="114"/>
      <c r="G46" s="114"/>
      <c r="H46" s="114"/>
      <c r="I46" s="114"/>
      <c r="J46" s="114"/>
      <c r="K46" s="114"/>
      <c r="L46" s="114"/>
      <c r="M46" s="114"/>
      <c r="N46" s="114"/>
      <c r="O46" s="114"/>
      <c r="P46" s="114"/>
      <c r="Q46" s="139"/>
    </row>
    <row r="47" spans="2:42" ht="15" customHeight="1" x14ac:dyDescent="0.25">
      <c r="B47" s="65" t="s">
        <v>164</v>
      </c>
      <c r="C47" s="63"/>
      <c r="D47" s="56"/>
      <c r="E47" s="40" t="s">
        <v>20</v>
      </c>
      <c r="F47" s="114"/>
      <c r="G47" s="114"/>
      <c r="H47" s="114"/>
      <c r="I47" s="114"/>
      <c r="J47" s="114"/>
      <c r="K47" s="114"/>
      <c r="L47" s="114"/>
      <c r="M47" s="114"/>
      <c r="N47" s="114"/>
      <c r="O47" s="114"/>
      <c r="P47" s="114"/>
      <c r="Q47" s="139"/>
    </row>
    <row r="48" spans="2:42" ht="15" customHeight="1" x14ac:dyDescent="0.25">
      <c r="B48" s="247" t="s">
        <v>165</v>
      </c>
      <c r="C48" s="248"/>
      <c r="D48" s="194"/>
      <c r="E48" s="195" t="s">
        <v>20</v>
      </c>
      <c r="F48" s="114"/>
      <c r="G48" s="114"/>
      <c r="H48" s="114"/>
      <c r="I48" s="114"/>
      <c r="J48" s="114"/>
      <c r="K48" s="114"/>
      <c r="L48" s="114"/>
      <c r="M48" s="114"/>
      <c r="N48" s="114"/>
      <c r="O48" s="114"/>
      <c r="P48" s="114"/>
      <c r="Q48" s="139"/>
    </row>
    <row r="49" spans="2:38" x14ac:dyDescent="0.25">
      <c r="B49" s="166" t="s">
        <v>168</v>
      </c>
      <c r="C49" s="112"/>
      <c r="D49" s="112"/>
      <c r="E49" s="112"/>
      <c r="F49" s="112"/>
      <c r="G49" s="112"/>
      <c r="H49" s="112"/>
      <c r="I49" s="112"/>
      <c r="J49" s="112"/>
      <c r="K49" s="112"/>
      <c r="L49" s="112"/>
      <c r="M49" s="112"/>
      <c r="N49" s="112"/>
      <c r="O49" s="112"/>
      <c r="P49" s="112"/>
      <c r="Q49" s="139"/>
    </row>
    <row r="50" spans="2:38" ht="24" customHeight="1" x14ac:dyDescent="0.25">
      <c r="B50" s="122" t="s">
        <v>65</v>
      </c>
      <c r="C50" s="101"/>
      <c r="D50" s="103"/>
      <c r="E50" s="108" t="str">
        <f>IF($E$4="Ground Source","B0 / W",IF($E$4="Water Source","W10 / W",IF($E$4="Air to Water","A-7 / W","A-7 / A")))</f>
        <v>A-7 / A</v>
      </c>
      <c r="F50" s="109" t="str">
        <f>IF($E$4="Air to Air","20",IF($E$5="Variable Outlet",VLOOKUP("Medium",$AD$33:$AI$36,3,FALSE),VLOOKUP("Medium",$AD$33:$AI$36,2,FALSE)))</f>
        <v>20</v>
      </c>
      <c r="G50" s="108" t="str">
        <f>IF($E$4="Ground Source","B0 / W",IF($E$4="Water Source","W10 / W",IF($E$4="Air to Water","A2 / W","A2 / A")))</f>
        <v>A2 / A</v>
      </c>
      <c r="H50" s="109" t="str">
        <f>IF($E$4="Air to Air","20",IF($E$5="Variable Outlet",VLOOKUP("Medium",$AD$33:$AI$36,4,FALSE),VLOOKUP("Medium",$AD$33:$AI$36,2,FALSE)))</f>
        <v>20</v>
      </c>
      <c r="I50" s="108" t="str">
        <f>IF($E$4="Ground Source","B0 / W",IF($E$4="Water Source","W10 / W",IF($E$4="Air to Water","A7 / W","A7 / A")))</f>
        <v>A7 / A</v>
      </c>
      <c r="J50" s="109" t="str">
        <f>IF($E$4="Air to Air","20",IF($E$5="Variable Outlet",VLOOKUP("Medium",$AD$33:$AI$36,5,FALSE),VLOOKUP("Medium",$AD$33:$AI$36,2,FALSE)))</f>
        <v>20</v>
      </c>
      <c r="K50" s="108" t="str">
        <f>IF($E$4="Ground Source","B0 / W",IF($E$4="Water Source","W10 / W",IF($E$4="Air to Water","A12 / W","A12 / A")))</f>
        <v>A12 / A</v>
      </c>
      <c r="L50" s="109" t="str">
        <f>IF($E$4="Air to Air","20",IF($E$5="Variable Outlet",VLOOKUP("Medium",$AD$33:$AI$36,6,FALSE),VLOOKUP("Medium",$AD$33:$AI$36,2,FALSE)))</f>
        <v>20</v>
      </c>
      <c r="M50" s="108" t="str">
        <f>IF($E$4="Ground Source","B0 / W",IF($E$4="Water Source","W10 / W",IF($E$4="Air to Water","A-10 / W","A-10 / A")))</f>
        <v>A-10 / A</v>
      </c>
      <c r="N50" s="109" t="str">
        <f>IF($E$4="Air to Air","20",IF($E$5="Variable Outlet",VLOOKUP("Medium",$AD$33:$AI$36,2,FALSE),VLOOKUP("Medium",$AD$33:$AI$36,2,FALSE)))</f>
        <v>20</v>
      </c>
      <c r="O50" s="108" t="str">
        <f>IF(D19="","N/A",IF($E$4="Ground Source","B0 / W",IF($E$4="Water Source","W10 / W",IF($E$4="Air to Water","A(Tbiv) / W","A(Tbiv) / A"))))</f>
        <v>N/A</v>
      </c>
      <c r="P50" s="109" t="str">
        <f>IF(E19="","",E19)</f>
        <v/>
      </c>
      <c r="Q50" s="125"/>
      <c r="R50" s="42"/>
      <c r="S50" s="52"/>
      <c r="AA50" s="44"/>
      <c r="AB50" s="44"/>
      <c r="AK50" s="52"/>
      <c r="AL50" s="52"/>
    </row>
    <row r="51" spans="2:38" x14ac:dyDescent="0.25">
      <c r="B51" s="123" t="str">
        <f>IF($E$4="Air to Air","N/A for Air to Air Heat Pumps","Intermediate Temperature Application (45oC)                                          EN 14825:2013 - Table 18 (ASHP) or Table 30 (GSHP)")</f>
        <v>N/A for Air to Air Heat Pumps</v>
      </c>
      <c r="C51" s="111"/>
      <c r="D51" s="43" t="s">
        <v>63</v>
      </c>
      <c r="E51" s="110"/>
      <c r="F51" s="110"/>
      <c r="G51" s="110"/>
      <c r="H51" s="110"/>
      <c r="I51" s="110"/>
      <c r="J51" s="110"/>
      <c r="K51" s="110"/>
      <c r="L51" s="110"/>
      <c r="M51" s="110"/>
      <c r="N51" s="110"/>
      <c r="O51" s="73"/>
      <c r="P51" s="73"/>
      <c r="Q51" s="138" t="s">
        <v>129</v>
      </c>
      <c r="R51" s="57"/>
      <c r="S51" s="57"/>
      <c r="T51" s="57"/>
      <c r="U51" s="57"/>
      <c r="V51" s="57"/>
      <c r="W51" s="57"/>
      <c r="X51" s="57"/>
      <c r="Y51" s="57"/>
      <c r="Z51" s="57"/>
      <c r="AA51" s="57"/>
      <c r="AB51" s="57"/>
      <c r="AC51" s="57"/>
      <c r="AK51" s="52"/>
      <c r="AL51" s="52"/>
    </row>
    <row r="52" spans="2:38" x14ac:dyDescent="0.25">
      <c r="B52" s="123"/>
      <c r="C52" s="111"/>
      <c r="D52" s="43" t="s">
        <v>64</v>
      </c>
      <c r="E52" s="73"/>
      <c r="F52" s="73"/>
      <c r="G52" s="73"/>
      <c r="H52" s="73"/>
      <c r="I52" s="73"/>
      <c r="J52" s="73"/>
      <c r="K52" s="73"/>
      <c r="L52" s="73"/>
      <c r="M52" s="73"/>
      <c r="N52" s="73"/>
      <c r="O52" s="73"/>
      <c r="P52" s="73"/>
      <c r="Q52" s="124"/>
      <c r="R52" s="57"/>
      <c r="S52" s="57"/>
      <c r="T52" s="57"/>
      <c r="U52" s="57"/>
      <c r="V52" s="57"/>
      <c r="W52" s="57"/>
      <c r="X52" s="57"/>
      <c r="Y52" s="57"/>
      <c r="Z52" s="57"/>
      <c r="AA52" s="57"/>
      <c r="AB52" s="57"/>
      <c r="AC52" s="57"/>
      <c r="AK52" s="52"/>
      <c r="AL52" s="52"/>
    </row>
    <row r="53" spans="2:38" x14ac:dyDescent="0.25">
      <c r="B53" s="123"/>
      <c r="C53" s="111"/>
      <c r="D53" s="43" t="s">
        <v>46</v>
      </c>
      <c r="E53" s="73"/>
      <c r="F53" s="73"/>
      <c r="G53" s="73"/>
      <c r="H53" s="73"/>
      <c r="I53" s="73"/>
      <c r="J53" s="73"/>
      <c r="K53" s="73"/>
      <c r="L53" s="73"/>
      <c r="M53" s="73"/>
      <c r="N53" s="73"/>
      <c r="O53" s="73"/>
      <c r="P53" s="73"/>
      <c r="Q53" s="124"/>
      <c r="R53" s="57"/>
      <c r="S53" s="57"/>
      <c r="T53" s="57"/>
      <c r="U53" s="57"/>
      <c r="V53" s="57"/>
      <c r="W53" s="57"/>
      <c r="X53" s="57"/>
      <c r="Y53" s="57"/>
      <c r="Z53" s="57"/>
      <c r="AA53" s="57"/>
      <c r="AB53" s="57"/>
      <c r="AC53" s="57"/>
      <c r="AK53" s="52"/>
      <c r="AL53" s="52"/>
    </row>
    <row r="54" spans="2:38" ht="15" x14ac:dyDescent="0.25">
      <c r="B54" s="198" t="s">
        <v>170</v>
      </c>
      <c r="C54" s="196"/>
      <c r="D54" s="196"/>
      <c r="E54" s="196"/>
      <c r="F54" s="196"/>
      <c r="G54" s="196"/>
      <c r="H54" s="196"/>
      <c r="I54" s="196"/>
      <c r="J54" s="114"/>
      <c r="K54" s="114"/>
      <c r="L54" s="114"/>
      <c r="M54" s="114"/>
      <c r="N54" s="114"/>
      <c r="O54" s="114"/>
      <c r="P54" s="114"/>
      <c r="Q54" s="139"/>
    </row>
    <row r="55" spans="2:38" x14ac:dyDescent="0.25">
      <c r="B55" s="167" t="s">
        <v>169</v>
      </c>
      <c r="C55" s="168"/>
      <c r="D55" s="168"/>
      <c r="E55" s="168"/>
      <c r="F55" s="168"/>
      <c r="G55" s="114"/>
      <c r="H55" s="114"/>
      <c r="I55" s="114"/>
      <c r="J55" s="114"/>
      <c r="K55" s="114"/>
      <c r="L55" s="114"/>
      <c r="M55" s="114"/>
      <c r="N55" s="114"/>
      <c r="O55" s="114"/>
      <c r="P55" s="114"/>
      <c r="Q55" s="139"/>
    </row>
    <row r="56" spans="2:38" ht="38.25" x14ac:dyDescent="0.25">
      <c r="B56" s="159" t="s">
        <v>90</v>
      </c>
      <c r="C56" s="152"/>
      <c r="D56" s="106" t="s">
        <v>51</v>
      </c>
      <c r="E56" s="106" t="s">
        <v>78</v>
      </c>
      <c r="F56" s="107" t="s">
        <v>79</v>
      </c>
      <c r="G56" s="107"/>
      <c r="H56" s="107" t="s">
        <v>171</v>
      </c>
      <c r="I56" s="107"/>
      <c r="J56" s="114"/>
      <c r="K56" s="114"/>
      <c r="L56" s="114"/>
      <c r="M56" s="114"/>
      <c r="N56" s="114"/>
      <c r="O56" s="114"/>
      <c r="P56" s="114"/>
      <c r="Q56" s="139"/>
    </row>
    <row r="57" spans="2:38" x14ac:dyDescent="0.25">
      <c r="B57" s="64" t="s">
        <v>146</v>
      </c>
      <c r="C57" s="45"/>
      <c r="D57" s="156" t="e">
        <f>'Low SCOP'!P15</f>
        <v>#DIV/0!</v>
      </c>
      <c r="E57" s="157" t="e">
        <f>'Low SCOP'!P9</f>
        <v>#DIV/0!</v>
      </c>
      <c r="F57" s="60" t="e">
        <f>'Low SCOP'!P17</f>
        <v>#DIV/0!</v>
      </c>
      <c r="G57" s="60"/>
      <c r="H57" s="153">
        <f>IF(H18=(TRUE),D18,'Low SCOP'!P19)</f>
        <v>5</v>
      </c>
      <c r="I57" s="153"/>
      <c r="J57" s="114"/>
      <c r="K57" s="114"/>
      <c r="L57" s="114"/>
      <c r="M57" s="114"/>
      <c r="N57" s="114"/>
      <c r="O57" s="114"/>
      <c r="P57" s="114"/>
      <c r="Q57" s="139"/>
    </row>
    <row r="58" spans="2:38" x14ac:dyDescent="0.25">
      <c r="B58" s="64" t="s">
        <v>87</v>
      </c>
      <c r="C58" s="45"/>
      <c r="D58" s="156" t="str">
        <f>IF($E$8="Low Temperature Heat Pump","Not applicable",'Intermediate SCOP'!P15)</f>
        <v>Not applicable</v>
      </c>
      <c r="E58" s="157" t="str">
        <f>IF($E$8="Low Temperature Heat Pump","Not applicable",'Intermediate SCOP'!P9)</f>
        <v>Not applicable</v>
      </c>
      <c r="F58" s="154" t="str">
        <f>IF($E$8="Low Temperature Heat Pump","N/A",'Intermediate SCOP'!P17)</f>
        <v>N/A</v>
      </c>
      <c r="G58" s="154"/>
      <c r="H58" s="155">
        <f>IF(H19=(TRUE),D19,'Intermediate SCOP'!P19)</f>
        <v>-10</v>
      </c>
      <c r="I58" s="155"/>
      <c r="J58" s="114"/>
      <c r="K58" s="114"/>
      <c r="L58" s="114"/>
      <c r="M58" s="114"/>
      <c r="N58" s="114"/>
      <c r="O58" s="114"/>
      <c r="P58" s="114"/>
      <c r="Q58" s="139"/>
    </row>
    <row r="59" spans="2:38" x14ac:dyDescent="0.25">
      <c r="B59" s="64" t="s">
        <v>88</v>
      </c>
      <c r="C59" s="45"/>
      <c r="D59" s="156" t="str">
        <f>IF($Q$34="Not applicable","Not applicable",'Medium SCOP'!Q15)</f>
        <v>Not applicable</v>
      </c>
      <c r="E59" s="157" t="str">
        <f>IF($Q$34="Not applicable","Not applicable",'Medium SCOP'!Q9)</f>
        <v>Not applicable</v>
      </c>
      <c r="F59" s="60" t="str">
        <f>IF($Q$34="Not applicable","N/A",'Medium SCOP'!Q17)</f>
        <v>N/A</v>
      </c>
      <c r="G59" s="60"/>
      <c r="H59" s="155" t="e">
        <f>IF(H20=(TRUE),D20,'Medium SCOP'!Q19)</f>
        <v>#VALUE!</v>
      </c>
      <c r="I59" s="155"/>
      <c r="J59" s="114"/>
      <c r="K59" s="114"/>
      <c r="L59" s="114"/>
      <c r="M59" s="114"/>
      <c r="N59" s="114"/>
      <c r="O59" s="114"/>
      <c r="P59" s="114"/>
      <c r="Q59" s="139"/>
    </row>
    <row r="60" spans="2:38" x14ac:dyDescent="0.25">
      <c r="B60" s="64" t="s">
        <v>89</v>
      </c>
      <c r="C60" s="45"/>
      <c r="D60" s="156" t="str">
        <f>IF($Q$38="Not applicable","Not applicable",'High SCOP'!Q15)</f>
        <v>Not applicable</v>
      </c>
      <c r="E60" s="157" t="str">
        <f>IF($Q$39="Not applicable","Not applicable",'High SCOP'!Q9)</f>
        <v>Not applicable</v>
      </c>
      <c r="F60" s="60" t="str">
        <f>IF($Q$38="Not applicable","N/A",'High SCOP'!Q17)</f>
        <v>N/A</v>
      </c>
      <c r="G60" s="60"/>
      <c r="H60" s="155">
        <f>IF(H21=(TRUE),D21,'High SCOP'!Q19)</f>
        <v>-10</v>
      </c>
      <c r="I60" s="155"/>
      <c r="J60" s="114"/>
      <c r="K60" s="114"/>
      <c r="L60" s="114"/>
      <c r="M60" s="114"/>
      <c r="N60" s="114"/>
      <c r="O60" s="114"/>
      <c r="P60" s="114"/>
      <c r="Q60" s="139"/>
    </row>
    <row r="61" spans="2:38" x14ac:dyDescent="0.25">
      <c r="B61" s="48" t="s">
        <v>150</v>
      </c>
      <c r="C61" s="46"/>
      <c r="D61" s="46"/>
      <c r="E61" s="46"/>
      <c r="F61" s="46"/>
      <c r="G61" s="46"/>
      <c r="H61" s="46"/>
      <c r="I61" s="46"/>
      <c r="J61" s="114"/>
      <c r="K61" s="114"/>
      <c r="L61" s="114"/>
      <c r="M61" s="114"/>
      <c r="N61" s="114"/>
      <c r="O61" s="114"/>
      <c r="P61" s="114"/>
      <c r="Q61" s="139"/>
    </row>
    <row r="62" spans="2:38" ht="29.25" customHeight="1" x14ac:dyDescent="0.25">
      <c r="B62" s="165" t="e">
        <f>IF(OR(D57&lt;100,D58&lt;100,D59&lt;100,D60&lt;100),"Cells highlighted orange are not compliant with EcoDesign Lot 1 requirements","")</f>
        <v>#DIV/0!</v>
      </c>
      <c r="C62" s="164"/>
      <c r="D62" s="164"/>
      <c r="E62" s="164"/>
      <c r="F62" s="164"/>
      <c r="G62" s="164"/>
      <c r="H62" s="164"/>
      <c r="I62" s="164"/>
      <c r="J62" s="114"/>
      <c r="K62" s="114"/>
      <c r="L62" s="114"/>
      <c r="M62" s="114"/>
      <c r="N62" s="114"/>
      <c r="O62" s="114"/>
      <c r="P62" s="114"/>
      <c r="Q62" s="139"/>
    </row>
    <row r="63" spans="2:38" ht="15" customHeight="1" x14ac:dyDescent="0.25">
      <c r="B63" s="161" t="s">
        <v>95</v>
      </c>
      <c r="C63" s="162"/>
      <c r="D63" s="163">
        <v>20</v>
      </c>
      <c r="E63" s="160"/>
      <c r="F63" s="114"/>
      <c r="G63" s="114"/>
      <c r="H63" s="140"/>
      <c r="I63" s="140"/>
      <c r="J63" s="140"/>
      <c r="K63" s="114"/>
      <c r="L63" s="114"/>
      <c r="M63" s="140"/>
      <c r="N63" s="140"/>
      <c r="O63" s="140"/>
      <c r="P63" s="140"/>
      <c r="Q63" s="141"/>
    </row>
    <row r="64" spans="2:38" ht="15" customHeight="1" x14ac:dyDescent="0.25">
      <c r="B64" s="65" t="s">
        <v>96</v>
      </c>
      <c r="C64" s="63"/>
      <c r="D64" s="157" t="e">
        <f>IF(AND(E8="Low Temperature Heat Pump",D63&gt;35),"HP Not Suitable",IF(AND(E8="Low Temperature Heat Pump",D63&lt;=35),G65,IF(AND(D63&gt;55,G70=""),"N/A",IF(AND(D63&gt;=35,D63&lt;=45),((G66-G65)/(F66-F65)*(D63-F66)+G66),IF(AND(D63&gt;45,D63&lt;=55),((G67-G66)/(F67-F66)*(D63-F67)+G67),((G70-G69)/(F70-F69)*(D63-F70)+G70))))))</f>
        <v>#DIV/0!</v>
      </c>
      <c r="E64" s="160"/>
      <c r="F64" s="175" t="s">
        <v>92</v>
      </c>
      <c r="G64" s="175"/>
      <c r="H64" s="140"/>
      <c r="I64" s="140"/>
      <c r="J64" s="140"/>
      <c r="K64" s="114"/>
      <c r="L64" s="114"/>
      <c r="M64" s="140"/>
      <c r="N64" s="140"/>
      <c r="O64" s="140"/>
      <c r="P64" s="140"/>
      <c r="Q64" s="141"/>
    </row>
    <row r="65" spans="2:17" ht="28.5" x14ac:dyDescent="0.25">
      <c r="B65" s="122" t="s">
        <v>93</v>
      </c>
      <c r="C65" s="101"/>
      <c r="D65" s="106" t="s">
        <v>172</v>
      </c>
      <c r="E65" s="140"/>
      <c r="F65" s="176">
        <v>35</v>
      </c>
      <c r="G65" s="177" t="e">
        <f>D57*2.5/100</f>
        <v>#DIV/0!</v>
      </c>
      <c r="H65" s="140"/>
      <c r="I65" s="140"/>
      <c r="J65" s="140"/>
      <c r="K65" s="114"/>
      <c r="L65" s="114"/>
      <c r="M65" s="140"/>
      <c r="N65" s="140"/>
      <c r="O65" s="140"/>
      <c r="P65" s="140"/>
      <c r="Q65" s="141"/>
    </row>
    <row r="66" spans="2:17" ht="15" customHeight="1" x14ac:dyDescent="0.25">
      <c r="B66" s="169">
        <f>IF($E$4="Air to Air",20,35)</f>
        <v>20</v>
      </c>
      <c r="C66" s="170"/>
      <c r="D66" s="191" t="e">
        <f>IF(E8="Low Temperature Heat Pump",G65,(($G$66-$G$65)/($F$66-$F$65)*(B67-$F$66)+$G$66))</f>
        <v>#DIV/0!</v>
      </c>
      <c r="E66" s="140"/>
      <c r="F66" s="176">
        <v>45</v>
      </c>
      <c r="G66" s="177" t="e">
        <f>D58*2.5/100</f>
        <v>#VALUE!</v>
      </c>
      <c r="H66" s="140"/>
      <c r="I66" s="140"/>
      <c r="J66" s="140"/>
      <c r="K66" s="114"/>
      <c r="L66" s="114"/>
      <c r="M66" s="140"/>
      <c r="N66" s="140"/>
      <c r="O66" s="140"/>
      <c r="P66" s="140"/>
      <c r="Q66" s="141"/>
    </row>
    <row r="67" spans="2:17" ht="15" customHeight="1" x14ac:dyDescent="0.25">
      <c r="B67" s="169" t="str">
        <f>IF($E$4="Air to Air","N/A",36)</f>
        <v>N/A</v>
      </c>
      <c r="C67" s="170"/>
      <c r="D67" s="191" t="str">
        <f>IF(E8="Low Temperature Heat Pump","HP Not Suitable for this temperature",(($G$66-$G$65)/($F$66-$F$65)*(#REF!-$F$66)+$G$66))</f>
        <v>HP Not Suitable for this temperature</v>
      </c>
      <c r="E67" s="140"/>
      <c r="F67" s="176">
        <v>55</v>
      </c>
      <c r="G67" s="177" t="e">
        <f>D59*2.5/100</f>
        <v>#VALUE!</v>
      </c>
      <c r="H67" s="140"/>
      <c r="I67" s="140"/>
      <c r="J67" s="140"/>
      <c r="K67" s="114"/>
      <c r="L67" s="114"/>
      <c r="M67" s="140"/>
      <c r="N67" s="140"/>
      <c r="O67" s="140"/>
      <c r="P67" s="140"/>
      <c r="Q67" s="141"/>
    </row>
    <row r="68" spans="2:17" ht="15" customHeight="1" x14ac:dyDescent="0.25">
      <c r="B68" s="169" t="str">
        <f>IF($E$4="Air to Air","N/A",37)</f>
        <v>N/A</v>
      </c>
      <c r="C68" s="170"/>
      <c r="D68" s="191" t="str">
        <f>IF(E8="Low Temperature Heat Pump","HP Not Suitable for this temperature",(($G$66-$G$65)/($F$66-$F$65)*(B68-$F$66)+$G$66))</f>
        <v>HP Not Suitable for this temperature</v>
      </c>
      <c r="E68" s="140"/>
      <c r="F68" s="176">
        <v>65</v>
      </c>
      <c r="G68" s="177" t="e">
        <f>IF(E9="Heat Pump","",D60*2.5/100)</f>
        <v>#VALUE!</v>
      </c>
      <c r="H68" s="140"/>
      <c r="I68" s="140"/>
      <c r="J68" s="140"/>
      <c r="K68" s="114"/>
      <c r="L68" s="114"/>
      <c r="M68" s="140"/>
      <c r="N68" s="140"/>
      <c r="O68" s="140"/>
      <c r="P68" s="140"/>
      <c r="Q68" s="141"/>
    </row>
    <row r="69" spans="2:17" ht="15" customHeight="1" x14ac:dyDescent="0.25">
      <c r="B69" s="169" t="str">
        <f>IF($E$4="Air to Air","N/A",38)</f>
        <v>N/A</v>
      </c>
      <c r="C69" s="170"/>
      <c r="D69" s="191" t="str">
        <f>IF(E8="Low Temperature Heat Pump","HP Not Suitable for this temperature",(($G$66-$G$65)/($F$66-$F$65)*(B69-$F$66)+$G$66))</f>
        <v>HP Not Suitable for this temperature</v>
      </c>
      <c r="E69" s="140"/>
      <c r="F69" s="176">
        <v>55</v>
      </c>
      <c r="G69" s="177" t="e">
        <f>IF(G68="","",G67)</f>
        <v>#VALUE!</v>
      </c>
      <c r="H69" s="140"/>
      <c r="I69" s="140"/>
      <c r="J69" s="140"/>
      <c r="K69" s="140"/>
      <c r="L69" s="140"/>
      <c r="M69" s="140"/>
      <c r="N69" s="140"/>
      <c r="O69" s="140"/>
      <c r="P69" s="140"/>
      <c r="Q69" s="141"/>
    </row>
    <row r="70" spans="2:17" ht="15" customHeight="1" x14ac:dyDescent="0.25">
      <c r="B70" s="169" t="str">
        <f>IF($E$4="Air to Air","N/A",39)</f>
        <v>N/A</v>
      </c>
      <c r="C70" s="170"/>
      <c r="D70" s="191" t="str">
        <f>IF(E8="Low Temperature Heat Pump","HP Not Suitable for this temperature",(($G$66-$G$65)/($F$66-$F$65)*(B70-$F$66)+$G$66))</f>
        <v>HP Not Suitable for this temperature</v>
      </c>
      <c r="E70" s="140"/>
      <c r="F70" s="176">
        <v>65</v>
      </c>
      <c r="G70" s="177" t="e">
        <f>G68</f>
        <v>#VALUE!</v>
      </c>
      <c r="H70" s="140"/>
      <c r="I70" s="140"/>
      <c r="J70" s="140"/>
      <c r="K70" s="140"/>
      <c r="L70" s="140"/>
      <c r="M70" s="140"/>
      <c r="N70" s="140"/>
      <c r="O70" s="140"/>
      <c r="P70" s="140"/>
      <c r="Q70" s="141"/>
    </row>
    <row r="71" spans="2:17" ht="15" customHeight="1" x14ac:dyDescent="0.25">
      <c r="B71" s="169" t="str">
        <f>IF($E$4="Air to Air","N/A",40)</f>
        <v>N/A</v>
      </c>
      <c r="C71" s="170"/>
      <c r="D71" s="191" t="str">
        <f>IF(E8="Low Temperature Heat Pump","HP Not Suitable for this temperature",(($G$66-$G$65)/($F$66-$F$65)*(B71-$F$66)+$G$66))</f>
        <v>HP Not Suitable for this temperature</v>
      </c>
      <c r="E71" s="140"/>
      <c r="F71" s="114"/>
      <c r="G71" s="114"/>
      <c r="H71" s="140"/>
      <c r="I71" s="140"/>
      <c r="J71" s="140"/>
      <c r="K71" s="140"/>
      <c r="L71" s="140"/>
      <c r="M71" s="140"/>
      <c r="N71" s="140"/>
      <c r="O71" s="140"/>
      <c r="P71" s="140"/>
      <c r="Q71" s="141"/>
    </row>
    <row r="72" spans="2:17" ht="15" customHeight="1" x14ac:dyDescent="0.25">
      <c r="B72" s="169" t="str">
        <f>IF($E$4="Air to Air","N/A",41)</f>
        <v>N/A</v>
      </c>
      <c r="C72" s="170"/>
      <c r="D72" s="191" t="str">
        <f>IF(E8="Low Temperature Heat Pump","HP Not Suitable for this temperature",(($G$66-$G$65)/($F$66-$F$65)*(B72-$F$66)+$G$66))</f>
        <v>HP Not Suitable for this temperature</v>
      </c>
      <c r="E72" s="140"/>
      <c r="F72" s="140"/>
      <c r="G72" s="140"/>
      <c r="H72" s="140"/>
      <c r="I72" s="140"/>
      <c r="J72" s="140"/>
      <c r="K72" s="140"/>
      <c r="L72" s="140"/>
      <c r="M72" s="140"/>
      <c r="N72" s="140"/>
      <c r="O72" s="140"/>
      <c r="P72" s="140"/>
      <c r="Q72" s="141"/>
    </row>
    <row r="73" spans="2:17" ht="15" customHeight="1" x14ac:dyDescent="0.25">
      <c r="B73" s="169" t="str">
        <f>IF($E$4="Air to Air","N/A",42)</f>
        <v>N/A</v>
      </c>
      <c r="C73" s="170"/>
      <c r="D73" s="191" t="str">
        <f>IF(E8="Low Temperature Heat Pump","HP Not Suitable for this temperature",(($G$66-$G$65)/($F$66-$F$65)*(B73-$F$66)+$G$66))</f>
        <v>HP Not Suitable for this temperature</v>
      </c>
      <c r="E73" s="140"/>
      <c r="F73" s="140"/>
      <c r="G73" s="140"/>
      <c r="H73" s="140"/>
      <c r="I73" s="140"/>
      <c r="J73" s="140"/>
      <c r="K73" s="140"/>
      <c r="L73" s="140"/>
      <c r="M73" s="140"/>
      <c r="N73" s="140"/>
      <c r="O73" s="140"/>
      <c r="P73" s="140"/>
      <c r="Q73" s="141"/>
    </row>
    <row r="74" spans="2:17" ht="15" customHeight="1" x14ac:dyDescent="0.25">
      <c r="B74" s="169" t="str">
        <f>IF($E$4="Air to Air","N/A",43)</f>
        <v>N/A</v>
      </c>
      <c r="C74" s="170"/>
      <c r="D74" s="191" t="str">
        <f>IF(E8="Low Temperature Heat Pump","HP Not Suitable for this temperature",(($G$66-$G$65)/($F$66-$F$65)*(B74-$F$66)+$G$66))</f>
        <v>HP Not Suitable for this temperature</v>
      </c>
      <c r="E74" s="140"/>
      <c r="F74" s="140"/>
      <c r="G74" s="140"/>
      <c r="H74" s="140"/>
      <c r="I74" s="140"/>
      <c r="J74" s="140"/>
      <c r="K74" s="140"/>
      <c r="L74" s="140"/>
      <c r="M74" s="140"/>
      <c r="N74" s="140"/>
      <c r="O74" s="140"/>
      <c r="P74" s="140"/>
      <c r="Q74" s="141"/>
    </row>
    <row r="75" spans="2:17" ht="15" customHeight="1" x14ac:dyDescent="0.25">
      <c r="B75" s="169" t="str">
        <f>IF($E$4="Air to Air","N/A",44)</f>
        <v>N/A</v>
      </c>
      <c r="C75" s="170"/>
      <c r="D75" s="191" t="str">
        <f>IF(E8="Low Temperature Heat Pump","HP Not Suitable for this temperature",(($G$66-$G$65)/($F$66-$F$65)*(B75-$F$66)+$G$66))</f>
        <v>HP Not Suitable for this temperature</v>
      </c>
      <c r="E75" s="140"/>
      <c r="F75" s="140"/>
      <c r="G75" s="140"/>
      <c r="H75" s="140"/>
      <c r="I75" s="140"/>
      <c r="J75" s="140"/>
      <c r="K75" s="140"/>
      <c r="L75" s="140"/>
      <c r="M75" s="140"/>
      <c r="N75" s="140"/>
      <c r="O75" s="140"/>
      <c r="P75" s="140"/>
      <c r="Q75" s="141"/>
    </row>
    <row r="76" spans="2:17" ht="15" customHeight="1" x14ac:dyDescent="0.25">
      <c r="B76" s="169" t="str">
        <f>IF($E$4="Air to Air","N/A",45)</f>
        <v>N/A</v>
      </c>
      <c r="C76" s="170"/>
      <c r="D76" s="191" t="str">
        <f>IF(E8="Low Temperature Heat Pump","HP Not Suitable for this temperature",(($G$66-$G$65)/($F$66-$F$65)*(B76-$F$66)+$G$66))</f>
        <v>HP Not Suitable for this temperature</v>
      </c>
      <c r="E76" s="140"/>
      <c r="F76" s="140"/>
      <c r="G76" s="140"/>
      <c r="H76" s="140"/>
      <c r="I76" s="140"/>
      <c r="J76" s="140"/>
      <c r="K76" s="140"/>
      <c r="L76" s="140"/>
      <c r="M76" s="140"/>
      <c r="N76" s="140"/>
      <c r="O76" s="140"/>
      <c r="P76" s="140"/>
      <c r="Q76" s="141"/>
    </row>
    <row r="77" spans="2:17" ht="15" customHeight="1" x14ac:dyDescent="0.25">
      <c r="B77" s="169" t="str">
        <f>IF($E$4="Air to Air","N/A",46)</f>
        <v>N/A</v>
      </c>
      <c r="C77" s="170"/>
      <c r="D77" s="191" t="str">
        <f>IF(E8="Low Temperature Heat Pump","HP Not Suitable for this temperature",IF(AND(B77&gt;45,B77&lt;=55),(($G$67-$G$66)/($F$67-$F$66)*(B77-$F$67)+$G$67),(($G$70-$G$69)/($F$70-$F$69)*(B77-$F$70)+$G$70)))</f>
        <v>HP Not Suitable for this temperature</v>
      </c>
      <c r="E77" s="140"/>
      <c r="F77" s="140"/>
      <c r="G77" s="140"/>
      <c r="H77" s="140"/>
      <c r="I77" s="140"/>
      <c r="J77" s="140"/>
      <c r="K77" s="140"/>
      <c r="L77" s="140"/>
      <c r="M77" s="140"/>
      <c r="N77" s="140"/>
      <c r="O77" s="140"/>
      <c r="P77" s="140"/>
      <c r="Q77" s="141"/>
    </row>
    <row r="78" spans="2:17" ht="15" customHeight="1" x14ac:dyDescent="0.25">
      <c r="B78" s="169" t="str">
        <f>IF($E$4="Air to Air","N/A",47)</f>
        <v>N/A</v>
      </c>
      <c r="C78" s="170"/>
      <c r="D78" s="191" t="str">
        <f>IF(E8="Low Temperature Heat Pump","HP Not Suitable for this temperature",IF(AND(B78&gt;45,B78&lt;=55),(($G$67-$G$66)/($F$67-$F$66)*(B78-$F$67)+$G$67),(($G$70-$G$69)/($F$70-$F$69)*(B78-$F$70)+$G$70)))</f>
        <v>HP Not Suitable for this temperature</v>
      </c>
      <c r="E78" s="114"/>
      <c r="F78" s="114"/>
      <c r="G78" s="114"/>
      <c r="H78" s="114"/>
      <c r="I78" s="114"/>
      <c r="J78" s="114"/>
      <c r="K78" s="114"/>
      <c r="L78" s="114"/>
      <c r="M78" s="114"/>
      <c r="N78" s="114"/>
      <c r="O78" s="114"/>
      <c r="P78" s="114"/>
      <c r="Q78" s="139"/>
    </row>
    <row r="79" spans="2:17" ht="15" customHeight="1" x14ac:dyDescent="0.25">
      <c r="B79" s="169" t="str">
        <f>IF($E$4="Air to Air","N/A",48)</f>
        <v>N/A</v>
      </c>
      <c r="C79" s="170"/>
      <c r="D79" s="191" t="str">
        <f>IF(E8="Low Temperature Heat Pump","HP Not Suitable for this temperature",IF(AND(B79&gt;45,B79&lt;=55),(($G$67-$G$66)/($F$67-$F$66)*(B79-$F$67)+$G$67),(($G$70-$G$69)/($F$70-$F$69)*(B79-$F$70)+$G$70)))</f>
        <v>HP Not Suitable for this temperature</v>
      </c>
      <c r="E79" s="114"/>
      <c r="F79" s="114"/>
      <c r="G79" s="114"/>
      <c r="H79" s="114"/>
      <c r="I79" s="114"/>
      <c r="J79" s="114"/>
      <c r="K79" s="114"/>
      <c r="L79" s="114"/>
      <c r="M79" s="114"/>
      <c r="N79" s="114"/>
      <c r="O79" s="114"/>
      <c r="P79" s="114"/>
      <c r="Q79" s="139"/>
    </row>
    <row r="80" spans="2:17" ht="15" customHeight="1" x14ac:dyDescent="0.25">
      <c r="B80" s="169" t="str">
        <f>IF($E$4="Air to Air","N/A",49)</f>
        <v>N/A</v>
      </c>
      <c r="C80" s="170"/>
      <c r="D80" s="191" t="str">
        <f>IF(E8="Low Temperature Heat Pump","HP Not Suitable for this temperature",IF(AND(B80&gt;45,B80&lt;=55),(($G$67-$G$66)/($F$67-$F$66)*(B80-$F$67)+$G$67),(($G$70-$G$69)/($F$70-$F$69)*(B80-$F$70)+$G$70)))</f>
        <v>HP Not Suitable for this temperature</v>
      </c>
      <c r="E80" s="114"/>
      <c r="F80" s="114"/>
      <c r="G80" s="114"/>
      <c r="H80" s="114"/>
      <c r="I80" s="114"/>
      <c r="J80" s="114"/>
      <c r="K80" s="114"/>
      <c r="L80" s="114"/>
      <c r="M80" s="114"/>
      <c r="N80" s="114"/>
      <c r="O80" s="114"/>
      <c r="P80" s="114"/>
      <c r="Q80" s="139"/>
    </row>
    <row r="81" spans="1:17" ht="15" customHeight="1" x14ac:dyDescent="0.25">
      <c r="B81" s="169" t="str">
        <f>IF($E$4="Air to Air","N/A",50)</f>
        <v>N/A</v>
      </c>
      <c r="C81" s="170"/>
      <c r="D81" s="191" t="str">
        <f>IF(E8="Low Temperature Heat Pump","HP Not Suitable for this temperature",IF(AND(B81&gt;45,B81&lt;=55),(($G$67-$G$66)/($F$67-$F$66)*(B81-$F$67)+$G$67),(($G$70-$G$69)/($F$70-$F$69)*(B81-$F$70)+$G$70)))</f>
        <v>HP Not Suitable for this temperature</v>
      </c>
      <c r="E81" s="114"/>
      <c r="F81" s="114"/>
      <c r="G81" s="114"/>
      <c r="H81" s="114"/>
      <c r="I81" s="114"/>
      <c r="J81" s="114"/>
      <c r="K81" s="114"/>
      <c r="L81" s="114"/>
      <c r="M81" s="114"/>
      <c r="N81" s="114"/>
      <c r="O81" s="114"/>
      <c r="P81" s="114"/>
      <c r="Q81" s="139"/>
    </row>
    <row r="82" spans="1:17" ht="15" customHeight="1" x14ac:dyDescent="0.25">
      <c r="B82" s="169" t="str">
        <f>IF($E$4="Air to Air","N/A",51)</f>
        <v>N/A</v>
      </c>
      <c r="C82" s="170"/>
      <c r="D82" s="191" t="str">
        <f>IF(E8="Low Temperature Heat Pump","HP Not Suitable for this temperature",IF(AND(B82&gt;45,B82&lt;=55),(($G$67-$G$66)/($F$67-$F$66)*(B82-$F$67)+$G$67),(($G$70-$G$69)/($F$70-$F$69)*(B82-$F$70)+$G$70)))</f>
        <v>HP Not Suitable for this temperature</v>
      </c>
      <c r="E82" s="114"/>
      <c r="F82" s="114"/>
      <c r="G82" s="114"/>
      <c r="H82" s="114"/>
      <c r="I82" s="114"/>
      <c r="J82" s="114"/>
      <c r="K82" s="114"/>
      <c r="L82" s="114"/>
      <c r="M82" s="114"/>
      <c r="N82" s="114"/>
      <c r="O82" s="114"/>
      <c r="P82" s="114"/>
      <c r="Q82" s="139"/>
    </row>
    <row r="83" spans="1:17" ht="15" customHeight="1" x14ac:dyDescent="0.25">
      <c r="B83" s="169" t="str">
        <f>IF($E$4="Air to Air","N/A",52)</f>
        <v>N/A</v>
      </c>
      <c r="C83" s="170"/>
      <c r="D83" s="191" t="str">
        <f>IF(E8="Low Temperature Heat Pump","HP Not Suitable for this temperature",IF(AND(B83&gt;45,B83&lt;=55),(($G$67-$G$66)/($F$67-$F$66)*(B83-$F$67)+$G$67),(($G$70-$G$69)/($F$70-$F$69)*(B83-$F$70)+$G$70)))</f>
        <v>HP Not Suitable for this temperature</v>
      </c>
      <c r="E83" s="114"/>
      <c r="F83" s="114"/>
      <c r="G83" s="114"/>
      <c r="H83" s="114"/>
      <c r="I83" s="114"/>
      <c r="J83" s="114"/>
      <c r="K83" s="114"/>
      <c r="L83" s="114"/>
      <c r="M83" s="114"/>
      <c r="N83" s="114"/>
      <c r="O83" s="114"/>
      <c r="P83" s="114"/>
      <c r="Q83" s="139"/>
    </row>
    <row r="84" spans="1:17" ht="15" customHeight="1" x14ac:dyDescent="0.25">
      <c r="B84" s="169" t="str">
        <f>IF($E$4="Air to Air","N/A",53)</f>
        <v>N/A</v>
      </c>
      <c r="C84" s="170"/>
      <c r="D84" s="191" t="str">
        <f>IF(E8="Low Temperature Heat Pump","HP Not Suitable for this temperature",IF(AND(B84&gt;45,B84&lt;=55),(($G$67-$G$66)/($F$67-$F$66)*(B84-$F$67)+$G$67),(($G$70-$G$69)/($F$70-$F$69)*(B84-$F$70)+$G$70)))</f>
        <v>HP Not Suitable for this temperature</v>
      </c>
      <c r="E84" s="114"/>
      <c r="F84" s="114"/>
      <c r="G84" s="114"/>
      <c r="H84" s="114"/>
      <c r="I84" s="114"/>
      <c r="J84" s="114"/>
      <c r="K84" s="114"/>
      <c r="L84" s="114"/>
      <c r="M84" s="114"/>
      <c r="N84" s="114"/>
      <c r="O84" s="114"/>
      <c r="P84" s="114"/>
      <c r="Q84" s="139"/>
    </row>
    <row r="85" spans="1:17" ht="15" customHeight="1" x14ac:dyDescent="0.25">
      <c r="B85" s="169" t="str">
        <f>IF($E$4="Air to Air","N/A",54)</f>
        <v>N/A</v>
      </c>
      <c r="C85" s="170"/>
      <c r="D85" s="191" t="str">
        <f>IF(E8="Low Temperature Heat Pump","HP Not Suitable for this temperature",IF(AND(B85&gt;45,B85&lt;=55),(($G$67-$G$66)/($F$67-$F$66)*(B85-$F$67)+$G$67),(($G$70-$G$69)/($F$70-$F$69)*(B85-$F$70)+$G$70)))</f>
        <v>HP Not Suitable for this temperature</v>
      </c>
      <c r="E85" s="114"/>
      <c r="F85" s="114"/>
      <c r="G85" s="114"/>
      <c r="H85" s="114"/>
      <c r="I85" s="114"/>
      <c r="J85" s="114"/>
      <c r="K85" s="114"/>
      <c r="L85" s="114"/>
      <c r="M85" s="114"/>
      <c r="N85" s="114"/>
      <c r="O85" s="114"/>
      <c r="P85" s="114"/>
      <c r="Q85" s="139"/>
    </row>
    <row r="86" spans="1:17" ht="15" customHeight="1" x14ac:dyDescent="0.25">
      <c r="B86" s="169" t="str">
        <f>IF($E$4="Air to Air","N/A",55)</f>
        <v>N/A</v>
      </c>
      <c r="C86" s="170"/>
      <c r="D86" s="191" t="str">
        <f>IF(E8="Low Temperature Heat Pump","HP Not Suitable for this temperature",IF(AND(B86&gt;45,B86&lt;=55),(($G$67-$G$66)/($F$67-$F$66)*(B86-$F$67)+$G$67),(($G$70-$G$69)/($F$70-$F$69)*(B86-$F$70)+$G$70)))</f>
        <v>HP Not Suitable for this temperature</v>
      </c>
      <c r="E86" s="114"/>
      <c r="F86" s="114"/>
      <c r="G86" s="114"/>
      <c r="H86" s="114"/>
      <c r="I86" s="114"/>
      <c r="J86" s="114"/>
      <c r="K86" s="114"/>
      <c r="L86" s="114"/>
      <c r="M86" s="114"/>
      <c r="N86" s="114"/>
      <c r="O86" s="114"/>
      <c r="P86" s="114"/>
      <c r="Q86" s="139"/>
    </row>
    <row r="87" spans="1:17" ht="15" customHeight="1" x14ac:dyDescent="0.25">
      <c r="B87" s="169" t="str">
        <f>IF($E$4="Air to Air","N/A",56)</f>
        <v>N/A</v>
      </c>
      <c r="C87" s="170"/>
      <c r="D87" s="191" t="e">
        <f>IF(AND(B87&gt;45,B87&lt;=55),(($G$67-$G$66)/($F$67-$F$66)*(B87-$F$67)+$G$67),IF($E$7="No","HP Not suitable for this temperature",(($G$70-$G$69)/($F$70-$F$69)*(B87-$F$70)+$G$70)))</f>
        <v>#VALUE!</v>
      </c>
      <c r="E87" s="114"/>
      <c r="F87" s="114"/>
      <c r="G87" s="114"/>
      <c r="H87" s="114"/>
      <c r="I87" s="114"/>
      <c r="J87" s="114"/>
      <c r="K87" s="114"/>
      <c r="L87" s="114"/>
      <c r="M87" s="114"/>
      <c r="N87" s="114"/>
      <c r="O87" s="114"/>
      <c r="P87" s="114"/>
      <c r="Q87" s="139"/>
    </row>
    <row r="88" spans="1:17" ht="15" customHeight="1" x14ac:dyDescent="0.25">
      <c r="B88" s="169" t="str">
        <f>IF($E$4="Air to Air","N/A",57)</f>
        <v>N/A</v>
      </c>
      <c r="C88" s="170"/>
      <c r="D88" s="191" t="e">
        <f>IF(AND(B88&gt;45,B88&lt;=55),(($G$67-$G$66)/($F$67-$F$66)*(B88-$F$67)+$G$67),IF($E$7="No","HP Not suitable for this temperature",(($G$70-$G$69)/($F$70-$F$69)*(B88-$F$70)+$G$70)))</f>
        <v>#VALUE!</v>
      </c>
      <c r="E88" s="114"/>
      <c r="F88" s="114"/>
      <c r="G88" s="114"/>
      <c r="H88" s="114"/>
      <c r="I88" s="114"/>
      <c r="J88" s="114"/>
      <c r="K88" s="114"/>
      <c r="L88" s="114"/>
      <c r="M88" s="114"/>
      <c r="N88" s="114"/>
      <c r="O88" s="114"/>
      <c r="P88" s="114"/>
      <c r="Q88" s="139"/>
    </row>
    <row r="89" spans="1:17" ht="15" customHeight="1" x14ac:dyDescent="0.25">
      <c r="B89" s="169" t="str">
        <f>IF($E$4="Air to Air","N/A",58)</f>
        <v>N/A</v>
      </c>
      <c r="C89" s="170"/>
      <c r="D89" s="191" t="e">
        <f>IF(AND(B89&gt;45,B89&lt;=55),(($G$67-$G$66)/($F$67-$F$66)*(B89-$F$67)+$G$67),IF($E$7="No","HP Not suitable for this temperature",(($G$70-$G$69)/($F$70-$F$69)*(B89-$F$70)+$G$70)))</f>
        <v>#VALUE!</v>
      </c>
      <c r="E89" s="114"/>
      <c r="F89" s="114"/>
      <c r="G89" s="114"/>
      <c r="H89" s="114"/>
      <c r="I89" s="114"/>
      <c r="J89" s="114"/>
      <c r="K89" s="114"/>
      <c r="L89" s="114"/>
      <c r="M89" s="114"/>
      <c r="N89" s="114"/>
      <c r="O89" s="114"/>
      <c r="P89" s="114"/>
      <c r="Q89" s="139"/>
    </row>
    <row r="90" spans="1:17" ht="15" customHeight="1" x14ac:dyDescent="0.25">
      <c r="B90" s="169" t="str">
        <f>IF($E$4="Air to Air","N/A",59)</f>
        <v>N/A</v>
      </c>
      <c r="C90" s="170"/>
      <c r="D90" s="191" t="e">
        <f>IF(AND(B90&gt;45,B90&lt;=55),(($G$67-$G$66)/($F$67-$F$66)*(B90-$F$67)+$G$67),IF($E$7="No","HP Not suitable for this temperature",(($G$70-$G$69)/($F$70-$F$69)*(B90-$F$70)+$G$70)))</f>
        <v>#VALUE!</v>
      </c>
      <c r="E90" s="114"/>
      <c r="F90" s="114"/>
      <c r="G90" s="114"/>
      <c r="H90" s="114"/>
      <c r="I90" s="114"/>
      <c r="J90" s="114"/>
      <c r="K90" s="114"/>
      <c r="L90" s="114"/>
      <c r="M90" s="114"/>
      <c r="N90" s="114"/>
      <c r="O90" s="114"/>
      <c r="P90" s="114"/>
      <c r="Q90" s="139"/>
    </row>
    <row r="91" spans="1:17" ht="15" customHeight="1" x14ac:dyDescent="0.25">
      <c r="B91" s="169" t="str">
        <f>IF($E$4="Air to Air","N/A",60)</f>
        <v>N/A</v>
      </c>
      <c r="C91" s="170"/>
      <c r="D91" s="191" t="e">
        <f>IF(AND(B91&gt;45,B91&lt;=55),(($G$67-$G$66)/($F$67-$F$66)*(B91-$F$67)+$G$67),IF($E$7="No","HP Not suitable for this temperature",(($G$70-$G$69)/($F$70-$F$69)*(B91-$F$70)+$G$70)))</f>
        <v>#VALUE!</v>
      </c>
      <c r="E91" s="114"/>
      <c r="F91" s="114"/>
      <c r="G91" s="114"/>
      <c r="H91" s="114"/>
      <c r="I91" s="114"/>
      <c r="J91" s="114"/>
      <c r="K91" s="114"/>
      <c r="L91" s="114"/>
      <c r="M91" s="114"/>
      <c r="N91" s="114"/>
      <c r="O91" s="114"/>
      <c r="P91" s="114"/>
      <c r="Q91" s="139"/>
    </row>
    <row r="92" spans="1:17" ht="15" customHeight="1" x14ac:dyDescent="0.25">
      <c r="B92" s="169" t="str">
        <f>IF($E$4="Air to Air","N/A",61)</f>
        <v>N/A</v>
      </c>
      <c r="C92" s="170"/>
      <c r="D92" s="191" t="e">
        <f>IF(AND(B92&gt;45,B92&lt;=55),(($G$67-$G$66)/($F$67-$F$66)*(B92-$F$67)+$G$67),IF($E$7="No","HP Not suitable for this temperature",(($G$70-$G$69)/($F$70-$F$69)*(B92-$F$70)+$G$70)))</f>
        <v>#VALUE!</v>
      </c>
      <c r="E92" s="114"/>
      <c r="F92" s="114"/>
      <c r="G92" s="114"/>
      <c r="H92" s="114"/>
      <c r="I92" s="114"/>
      <c r="J92" s="114"/>
      <c r="K92" s="114"/>
      <c r="L92" s="114"/>
      <c r="M92" s="114"/>
      <c r="N92" s="114"/>
      <c r="O92" s="114"/>
      <c r="P92" s="114"/>
      <c r="Q92" s="139"/>
    </row>
    <row r="93" spans="1:17" ht="15" customHeight="1" x14ac:dyDescent="0.25">
      <c r="B93" s="169" t="str">
        <f>IF($E$4="Air to Air","N/A",62)</f>
        <v>N/A</v>
      </c>
      <c r="C93" s="170"/>
      <c r="D93" s="191" t="e">
        <f>IF(AND(B93&gt;45,B93&lt;=55),(($G$67-$G$66)/($F$67-$F$66)*(B93-$F$67)+$G$67),IF($E$7="No","HP Not suitable for this temperature",(($G$70-$G$69)/($F$70-$F$69)*(B93-$F$70)+$G$70)))</f>
        <v>#VALUE!</v>
      </c>
      <c r="E93" s="114"/>
      <c r="F93" s="114"/>
      <c r="G93" s="114"/>
      <c r="H93" s="114"/>
      <c r="I93" s="114"/>
      <c r="J93" s="114"/>
      <c r="K93" s="114"/>
      <c r="L93" s="114"/>
      <c r="M93" s="114"/>
      <c r="N93" s="114"/>
      <c r="O93" s="114"/>
      <c r="P93" s="114"/>
      <c r="Q93" s="139"/>
    </row>
    <row r="94" spans="1:17" ht="15" customHeight="1" x14ac:dyDescent="0.25">
      <c r="B94" s="169" t="str">
        <f>IF($E$4="Air to Air","N/A",63)</f>
        <v>N/A</v>
      </c>
      <c r="C94" s="170"/>
      <c r="D94" s="191" t="e">
        <f>IF(AND(B94&gt;45,B94&lt;=55),(($G$67-$G$66)/($F$67-$F$66)*(B94-$F$67)+$G$67),IF($E$7="No","HP Not suitable for this temperature",(($G$70-$G$69)/($F$70-$F$69)*(B94-$F$70)+$G$70)))</f>
        <v>#VALUE!</v>
      </c>
      <c r="E94" s="114"/>
      <c r="F94" s="114"/>
      <c r="G94" s="114"/>
      <c r="H94" s="114"/>
      <c r="I94" s="114"/>
      <c r="J94" s="114"/>
      <c r="K94" s="114"/>
      <c r="L94" s="114"/>
      <c r="M94" s="114"/>
      <c r="N94" s="114"/>
      <c r="O94" s="114"/>
      <c r="P94" s="114"/>
      <c r="Q94" s="139"/>
    </row>
    <row r="95" spans="1:17" ht="15" customHeight="1" x14ac:dyDescent="0.25">
      <c r="B95" s="169" t="str">
        <f>IF($E$4="Air to Air","N/A",64)</f>
        <v>N/A</v>
      </c>
      <c r="C95" s="170"/>
      <c r="D95" s="191" t="e">
        <f>IF(AND(B95&gt;45,B95&lt;=55),(($G$67-$G$66)/($F$67-$F$66)*(B95-$F$67)+$G$67),IF($E$7="No","HP Not suitable for this temperature",(($G$70-$G$69)/($F$70-$F$69)*(B95-$F$70)+$G$70)))</f>
        <v>#VALUE!</v>
      </c>
      <c r="E95" s="114"/>
      <c r="F95" s="114"/>
      <c r="G95" s="114"/>
      <c r="H95" s="114"/>
      <c r="I95" s="114"/>
      <c r="J95" s="114"/>
      <c r="K95" s="114"/>
      <c r="L95" s="114"/>
      <c r="M95" s="114"/>
      <c r="N95" s="114"/>
      <c r="O95" s="114"/>
      <c r="P95" s="114"/>
      <c r="Q95" s="139"/>
    </row>
    <row r="96" spans="1:17" ht="15.75" customHeight="1" thickBot="1" x14ac:dyDescent="0.3">
      <c r="A96" s="53"/>
      <c r="B96" s="171" t="str">
        <f>IF($E$4="Air to Air","N/A",65)</f>
        <v>N/A</v>
      </c>
      <c r="C96" s="172"/>
      <c r="D96" s="199" t="e">
        <f>IF(AND(B96&gt;45,B96&lt;=55),(($G$67-$G$66)/($F$67-$F$66)*(B96-$F$67)+$G$67),IF($E$7="No","HP Not suitable for this temperature",(($G$70-$G$69)/($F$70-$F$69)*(B96-$F$70)+$G$70)))</f>
        <v>#VALUE!</v>
      </c>
      <c r="E96" s="144"/>
      <c r="F96" s="144"/>
      <c r="G96" s="144"/>
      <c r="H96" s="144"/>
      <c r="I96" s="144"/>
      <c r="J96" s="144"/>
      <c r="K96" s="144"/>
      <c r="L96" s="144"/>
      <c r="M96" s="144"/>
      <c r="N96" s="144"/>
      <c r="O96" s="144"/>
      <c r="P96" s="144"/>
      <c r="Q96" s="145"/>
    </row>
    <row r="97" spans="1:4" x14ac:dyDescent="0.25">
      <c r="A97" s="53"/>
      <c r="B97" s="53"/>
      <c r="C97" s="52"/>
      <c r="D97" s="53"/>
    </row>
    <row r="98" spans="1:4" x14ac:dyDescent="0.25">
      <c r="A98" s="53"/>
      <c r="B98" s="53"/>
    </row>
    <row r="99" spans="1:4" x14ac:dyDescent="0.25">
      <c r="A99" s="53"/>
      <c r="B99" s="53"/>
    </row>
    <row r="100" spans="1:4" x14ac:dyDescent="0.25">
      <c r="A100" s="53"/>
      <c r="B100" s="53"/>
    </row>
    <row r="101" spans="1:4" x14ac:dyDescent="0.25">
      <c r="A101" s="53"/>
      <c r="B101" s="53"/>
    </row>
    <row r="102" spans="1:4" x14ac:dyDescent="0.25">
      <c r="A102" s="53"/>
      <c r="B102" s="53"/>
    </row>
    <row r="103" spans="1:4" x14ac:dyDescent="0.25">
      <c r="A103" s="53"/>
      <c r="B103" s="53"/>
    </row>
  </sheetData>
  <dataConsolidate/>
  <mergeCells count="198">
    <mergeCell ref="B2:Q2"/>
    <mergeCell ref="B3:Q3"/>
    <mergeCell ref="B67:C67"/>
    <mergeCell ref="B66:C66"/>
    <mergeCell ref="B65:C65"/>
    <mergeCell ref="F64:G64"/>
    <mergeCell ref="B61:I61"/>
    <mergeCell ref="B62:I62"/>
    <mergeCell ref="B72:C72"/>
    <mergeCell ref="B71:C71"/>
    <mergeCell ref="B70:C70"/>
    <mergeCell ref="B69:C69"/>
    <mergeCell ref="B68:C68"/>
    <mergeCell ref="B77:C77"/>
    <mergeCell ref="B76:C76"/>
    <mergeCell ref="B75:C75"/>
    <mergeCell ref="B74:C74"/>
    <mergeCell ref="B73:C73"/>
    <mergeCell ref="B82:C82"/>
    <mergeCell ref="B81:C81"/>
    <mergeCell ref="B80:C80"/>
    <mergeCell ref="B79:C79"/>
    <mergeCell ref="B78:C78"/>
    <mergeCell ref="B64:C64"/>
    <mergeCell ref="B63:C63"/>
    <mergeCell ref="B96:C96"/>
    <mergeCell ref="B95:C95"/>
    <mergeCell ref="B94:C94"/>
    <mergeCell ref="B93:C93"/>
    <mergeCell ref="B92:C92"/>
    <mergeCell ref="B91:C91"/>
    <mergeCell ref="B90:C90"/>
    <mergeCell ref="B89:C89"/>
    <mergeCell ref="B88:C88"/>
    <mergeCell ref="B87:C87"/>
    <mergeCell ref="B86:C86"/>
    <mergeCell ref="B85:C85"/>
    <mergeCell ref="B84:C84"/>
    <mergeCell ref="B83:C83"/>
    <mergeCell ref="B60:C60"/>
    <mergeCell ref="B59:C59"/>
    <mergeCell ref="B58:C58"/>
    <mergeCell ref="B57:C57"/>
    <mergeCell ref="B56:C56"/>
    <mergeCell ref="F60:G60"/>
    <mergeCell ref="H60:I60"/>
    <mergeCell ref="H59:I59"/>
    <mergeCell ref="H58:I58"/>
    <mergeCell ref="H57:I57"/>
    <mergeCell ref="F57:G57"/>
    <mergeCell ref="H56:I56"/>
    <mergeCell ref="F56:G56"/>
    <mergeCell ref="F58:G58"/>
    <mergeCell ref="F59:G59"/>
    <mergeCell ref="B54:I54"/>
    <mergeCell ref="B11:G11"/>
    <mergeCell ref="B14:G14"/>
    <mergeCell ref="B13:G13"/>
    <mergeCell ref="B12:G12"/>
    <mergeCell ref="B16:O16"/>
    <mergeCell ref="B15:O15"/>
    <mergeCell ref="B49:P49"/>
    <mergeCell ref="O53:P53"/>
    <mergeCell ref="O52:P52"/>
    <mergeCell ref="O51:P51"/>
    <mergeCell ref="M51:N51"/>
    <mergeCell ref="K51:L51"/>
    <mergeCell ref="K52:L52"/>
    <mergeCell ref="K53:L53"/>
    <mergeCell ref="B51:C53"/>
    <mergeCell ref="B50:D50"/>
    <mergeCell ref="M52:N52"/>
    <mergeCell ref="M53:N53"/>
    <mergeCell ref="I53:J53"/>
    <mergeCell ref="I52:J52"/>
    <mergeCell ref="I51:J51"/>
    <mergeCell ref="G51:H51"/>
    <mergeCell ref="G52:H52"/>
    <mergeCell ref="G53:H53"/>
    <mergeCell ref="E53:F53"/>
    <mergeCell ref="E52:F52"/>
    <mergeCell ref="E51:F51"/>
    <mergeCell ref="B55:F55"/>
    <mergeCell ref="B41:J41"/>
    <mergeCell ref="B48:C48"/>
    <mergeCell ref="B47:C47"/>
    <mergeCell ref="B46:C46"/>
    <mergeCell ref="B45:C45"/>
    <mergeCell ref="F45:L45"/>
    <mergeCell ref="B42:J42"/>
    <mergeCell ref="B43:J43"/>
    <mergeCell ref="B44:J44"/>
    <mergeCell ref="B22:I22"/>
    <mergeCell ref="B25:I25"/>
    <mergeCell ref="B26:I26"/>
    <mergeCell ref="B27:I27"/>
    <mergeCell ref="H24:I24"/>
    <mergeCell ref="F24:G24"/>
    <mergeCell ref="B23:C23"/>
    <mergeCell ref="D23:E23"/>
    <mergeCell ref="B24:C24"/>
    <mergeCell ref="D24:E24"/>
    <mergeCell ref="Q28:Q29"/>
    <mergeCell ref="B38:C40"/>
    <mergeCell ref="B34:C36"/>
    <mergeCell ref="B30:C32"/>
    <mergeCell ref="B28:C29"/>
    <mergeCell ref="E35:F35"/>
    <mergeCell ref="E34:F34"/>
    <mergeCell ref="E32:F32"/>
    <mergeCell ref="E31:F31"/>
    <mergeCell ref="E30:F30"/>
    <mergeCell ref="G36:H36"/>
    <mergeCell ref="G38:H38"/>
    <mergeCell ref="G39:H39"/>
    <mergeCell ref="G40:H40"/>
    <mergeCell ref="E40:F40"/>
    <mergeCell ref="E39:F39"/>
    <mergeCell ref="E38:F38"/>
    <mergeCell ref="E36:F36"/>
    <mergeCell ref="G30:H30"/>
    <mergeCell ref="G31:H31"/>
    <mergeCell ref="G32:H32"/>
    <mergeCell ref="G34:H34"/>
    <mergeCell ref="G35:H35"/>
    <mergeCell ref="I31:J31"/>
    <mergeCell ref="K31:L31"/>
    <mergeCell ref="M31:N31"/>
    <mergeCell ref="O31:P31"/>
    <mergeCell ref="O30:P30"/>
    <mergeCell ref="M30:N30"/>
    <mergeCell ref="K30:L30"/>
    <mergeCell ref="I30:J30"/>
    <mergeCell ref="O34:P34"/>
    <mergeCell ref="M34:N34"/>
    <mergeCell ref="K34:L34"/>
    <mergeCell ref="I34:J34"/>
    <mergeCell ref="O32:P32"/>
    <mergeCell ref="M32:N32"/>
    <mergeCell ref="K32:L32"/>
    <mergeCell ref="I32:J32"/>
    <mergeCell ref="O40:P40"/>
    <mergeCell ref="O39:P39"/>
    <mergeCell ref="O38:P38"/>
    <mergeCell ref="O36:P36"/>
    <mergeCell ref="O35:P35"/>
    <mergeCell ref="M35:N35"/>
    <mergeCell ref="M36:N36"/>
    <mergeCell ref="M38:N38"/>
    <mergeCell ref="M39:N39"/>
    <mergeCell ref="M40:N40"/>
    <mergeCell ref="K40:L40"/>
    <mergeCell ref="K39:L39"/>
    <mergeCell ref="K38:L38"/>
    <mergeCell ref="K36:L36"/>
    <mergeCell ref="K35:L35"/>
    <mergeCell ref="I35:J35"/>
    <mergeCell ref="I36:J36"/>
    <mergeCell ref="I38:J38"/>
    <mergeCell ref="I39:J39"/>
    <mergeCell ref="I40:J40"/>
    <mergeCell ref="B8:D8"/>
    <mergeCell ref="B9:D9"/>
    <mergeCell ref="B10:D10"/>
    <mergeCell ref="O28:P28"/>
    <mergeCell ref="E10:G10"/>
    <mergeCell ref="E9:G9"/>
    <mergeCell ref="E8:G8"/>
    <mergeCell ref="F21:G21"/>
    <mergeCell ref="J18:O18"/>
    <mergeCell ref="J21:O21"/>
    <mergeCell ref="J20:O20"/>
    <mergeCell ref="J19:O19"/>
    <mergeCell ref="J17:O17"/>
    <mergeCell ref="B21:C21"/>
    <mergeCell ref="B20:C20"/>
    <mergeCell ref="B19:C19"/>
    <mergeCell ref="B18:C18"/>
    <mergeCell ref="F20:G20"/>
    <mergeCell ref="F19:G19"/>
    <mergeCell ref="F18:G18"/>
    <mergeCell ref="F17:G17"/>
    <mergeCell ref="C7:D7"/>
    <mergeCell ref="C6:D6"/>
    <mergeCell ref="C5:D5"/>
    <mergeCell ref="C4:D4"/>
    <mergeCell ref="E4:G4"/>
    <mergeCell ref="E5:G5"/>
    <mergeCell ref="E7:G7"/>
    <mergeCell ref="E6:G6"/>
    <mergeCell ref="E28:F28"/>
    <mergeCell ref="G28:H28"/>
    <mergeCell ref="I28:J28"/>
    <mergeCell ref="K28:L28"/>
    <mergeCell ref="M28:N28"/>
    <mergeCell ref="F23:G23"/>
    <mergeCell ref="H23:I23"/>
    <mergeCell ref="D28:D29"/>
  </mergeCells>
  <conditionalFormatting sqref="D57:D60">
    <cfRule type="cellIs" dxfId="4" priority="7" operator="lessThan">
      <formula>100</formula>
    </cfRule>
  </conditionalFormatting>
  <conditionalFormatting sqref="E8">
    <cfRule type="cellIs" dxfId="3" priority="15" operator="equal">
      <formula>"""Low Temperature Heat Pump"""</formula>
    </cfRule>
  </conditionalFormatting>
  <conditionalFormatting sqref="E9">
    <cfRule type="cellIs" dxfId="2" priority="14" operator="equal">
      <formula>"""Low Temperature Heat Pump"""</formula>
    </cfRule>
  </conditionalFormatting>
  <conditionalFormatting sqref="D66:D95">
    <cfRule type="cellIs" dxfId="1" priority="5" operator="lessThan">
      <formula>2.5</formula>
    </cfRule>
  </conditionalFormatting>
  <conditionalFormatting sqref="H57:H60">
    <cfRule type="cellIs" dxfId="0" priority="4" operator="greaterThan">
      <formula>2</formula>
    </cfRule>
  </conditionalFormatting>
  <dataValidations count="4">
    <dataValidation type="list" allowBlank="1" showInputMessage="1" showErrorMessage="1" sqref="E4" xr:uid="{00000000-0002-0000-0200-000002000000}">
      <formula1>$H$5:$H$8</formula1>
    </dataValidation>
    <dataValidation type="list" allowBlank="1" showInputMessage="1" showErrorMessage="1" sqref="E6:E7" xr:uid="{00000000-0002-0000-0200-000003000000}">
      <formula1>$O$6:$O$7</formula1>
    </dataValidation>
    <dataValidation type="list" allowBlank="1" showInputMessage="1" showErrorMessage="1" sqref="E5" xr:uid="{00000000-0002-0000-0200-000004000000}">
      <formula1>$L$6:$L$7</formula1>
    </dataValidation>
    <dataValidation type="list" allowBlank="1" showInputMessage="1" showErrorMessage="1" sqref="D63" xr:uid="{00000000-0002-0000-0200-000000000000}">
      <formula1>$C$66:$C$96</formula1>
    </dataValidation>
  </dataValidations>
  <printOptions headings="1" gridLines="1"/>
  <pageMargins left="0.70866141732283472" right="0.70866141732283472" top="0.74803149606299213" bottom="0.74803149606299213" header="0.31496062992125984" footer="0.31496062992125984"/>
  <pageSetup paperSize="9" scale="23" orientation="landscape"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pageSetUpPr fitToPage="1"/>
  </sheetPr>
  <dimension ref="A1:W58"/>
  <sheetViews>
    <sheetView topLeftCell="A26" zoomScale="94" zoomScaleNormal="90" workbookViewId="0">
      <selection activeCell="F1" sqref="F1"/>
    </sheetView>
  </sheetViews>
  <sheetFormatPr defaultColWidth="9.140625" defaultRowHeight="12.75" x14ac:dyDescent="0.25"/>
  <cols>
    <col min="1" max="1" width="2.85546875" style="158" customWidth="1"/>
    <col min="2" max="2" width="30.42578125" style="158" customWidth="1"/>
    <col min="3" max="3" width="16.85546875" style="158" customWidth="1"/>
    <col min="4" max="4" width="16.42578125" style="158" customWidth="1"/>
    <col min="5" max="5" width="18.7109375" style="158" bestFit="1" customWidth="1"/>
    <col min="6" max="6" width="11.5703125" style="158" customWidth="1"/>
    <col min="7" max="7" width="14.42578125" style="158" customWidth="1"/>
    <col min="8" max="8" width="19.85546875" style="158" bestFit="1" customWidth="1"/>
    <col min="9" max="9" width="19.5703125" style="158" bestFit="1" customWidth="1"/>
    <col min="10" max="10" width="26" style="158" bestFit="1" customWidth="1"/>
    <col min="11" max="11" width="18.42578125" style="158" customWidth="1"/>
    <col min="12" max="12" width="17.140625" style="158" bestFit="1" customWidth="1"/>
    <col min="13" max="13" width="39.42578125" style="158" customWidth="1"/>
    <col min="14" max="14" width="6.85546875" style="158" customWidth="1"/>
    <col min="15" max="15" width="58.5703125" style="158" bestFit="1" customWidth="1"/>
    <col min="16" max="16" width="26.140625" style="158" bestFit="1" customWidth="1"/>
    <col min="17" max="17" width="16.5703125" style="158" customWidth="1"/>
    <col min="18" max="18" width="10.5703125" style="158" bestFit="1" customWidth="1"/>
    <col min="19" max="19" width="9.85546875" style="158" customWidth="1"/>
    <col min="20" max="20" width="24.140625" style="207" customWidth="1"/>
    <col min="21" max="21" width="25.42578125" style="207" bestFit="1" customWidth="1"/>
    <col min="22" max="23" width="24.140625" style="207" customWidth="1"/>
    <col min="24" max="24" width="8.42578125" style="158" customWidth="1"/>
    <col min="25" max="16384" width="9.140625" style="158"/>
  </cols>
  <sheetData>
    <row r="1" spans="1:23" ht="15" customHeight="1" x14ac:dyDescent="0.25"/>
    <row r="2" spans="1:23" x14ac:dyDescent="0.25">
      <c r="B2" s="101" t="s">
        <v>75</v>
      </c>
      <c r="C2" s="101"/>
      <c r="D2" s="101"/>
      <c r="I2" s="77" t="s">
        <v>203</v>
      </c>
    </row>
    <row r="3" spans="1:23" ht="15.75" x14ac:dyDescent="0.25">
      <c r="A3" s="208"/>
      <c r="B3" s="205" t="s">
        <v>23</v>
      </c>
      <c r="C3" s="58" t="s">
        <v>9</v>
      </c>
      <c r="D3" s="223"/>
      <c r="I3" s="77" t="s">
        <v>98</v>
      </c>
      <c r="J3" s="207"/>
      <c r="K3" s="207"/>
      <c r="L3" s="207"/>
      <c r="O3" s="43" t="s">
        <v>173</v>
      </c>
      <c r="P3" s="228">
        <f>'ErP Inputs'!$D$46</f>
        <v>0</v>
      </c>
      <c r="Q3" s="40" t="s">
        <v>20</v>
      </c>
      <c r="T3" s="158"/>
      <c r="U3" s="158"/>
      <c r="V3" s="158"/>
      <c r="W3" s="158"/>
    </row>
    <row r="4" spans="1:23" ht="15.75" x14ac:dyDescent="0.25">
      <c r="A4" s="208"/>
      <c r="B4" s="43" t="s">
        <v>19</v>
      </c>
      <c r="C4" s="36">
        <v>-10</v>
      </c>
      <c r="D4" s="40" t="s">
        <v>162</v>
      </c>
      <c r="I4" s="105" t="s">
        <v>50</v>
      </c>
      <c r="J4" s="105" t="s">
        <v>190</v>
      </c>
      <c r="K4" s="105" t="s">
        <v>191</v>
      </c>
      <c r="L4" s="105" t="s">
        <v>192</v>
      </c>
      <c r="M4" s="105" t="s">
        <v>193</v>
      </c>
      <c r="O4" s="43" t="s">
        <v>174</v>
      </c>
      <c r="P4" s="228">
        <f>'ErP Inputs'!$D$47</f>
        <v>0</v>
      </c>
      <c r="Q4" s="40" t="s">
        <v>20</v>
      </c>
      <c r="T4" s="158"/>
      <c r="U4" s="158"/>
      <c r="V4" s="158"/>
      <c r="W4" s="158"/>
    </row>
    <row r="5" spans="1:23" ht="15.75" x14ac:dyDescent="0.25">
      <c r="A5" s="208"/>
      <c r="B5" s="43" t="s">
        <v>24</v>
      </c>
      <c r="C5" s="191">
        <f>'ErP Inputs'!B24</f>
        <v>0</v>
      </c>
      <c r="D5" s="40" t="s">
        <v>20</v>
      </c>
      <c r="H5" s="43" t="s">
        <v>49</v>
      </c>
      <c r="I5" s="41">
        <f>IF('ErP Inputs'!E4="Air to Air",1400,2066)</f>
        <v>1400</v>
      </c>
      <c r="J5" s="36">
        <f>IF('ErP Inputs'!E4="Air to Air",179,178)</f>
        <v>179</v>
      </c>
      <c r="K5" s="36">
        <v>0</v>
      </c>
      <c r="L5" s="36">
        <v>3672</v>
      </c>
      <c r="M5" s="36">
        <f>IF('ErP Inputs'!E4="Air to Air",3851,3850)</f>
        <v>3851</v>
      </c>
      <c r="O5" s="43" t="s">
        <v>175</v>
      </c>
      <c r="P5" s="228">
        <f>'ErP Inputs'!$D$48</f>
        <v>0</v>
      </c>
      <c r="Q5" s="40" t="s">
        <v>20</v>
      </c>
      <c r="T5" s="158"/>
      <c r="U5" s="158"/>
      <c r="V5" s="158"/>
      <c r="W5" s="158"/>
    </row>
    <row r="6" spans="1:23" ht="15.75" x14ac:dyDescent="0.25">
      <c r="A6" s="208"/>
      <c r="C6" s="207"/>
      <c r="I6" s="207"/>
      <c r="J6" s="207"/>
      <c r="K6" s="207"/>
      <c r="L6" s="207"/>
      <c r="O6" s="59" t="s">
        <v>176</v>
      </c>
      <c r="P6" s="220">
        <f>C5*I5</f>
        <v>0</v>
      </c>
      <c r="T6" s="158"/>
      <c r="U6" s="158"/>
      <c r="V6" s="158"/>
      <c r="W6" s="158"/>
    </row>
    <row r="7" spans="1:23" ht="15.75" x14ac:dyDescent="0.25">
      <c r="A7" s="211"/>
      <c r="B7" s="37" t="str">
        <f>'ErP Inputs'!E4</f>
        <v>Air to Air</v>
      </c>
      <c r="C7" s="212"/>
      <c r="I7" s="207"/>
      <c r="J7" s="207"/>
      <c r="K7" s="207"/>
      <c r="L7" s="207"/>
      <c r="O7" s="43" t="s">
        <v>177</v>
      </c>
      <c r="P7" s="220" t="e">
        <f>P6/M25+(J5*P3)+(L5*P4)+(M5*P5)</f>
        <v>#DIV/0!</v>
      </c>
      <c r="T7" s="158"/>
      <c r="U7" s="158"/>
      <c r="V7" s="158"/>
      <c r="W7" s="158"/>
    </row>
    <row r="8" spans="1:23" ht="13.5" thickBot="1" x14ac:dyDescent="0.3">
      <c r="A8" s="211"/>
      <c r="B8" s="37" t="str">
        <f>'ErP Inputs'!E5</f>
        <v>Variable Outlet</v>
      </c>
      <c r="C8" s="207"/>
    </row>
    <row r="9" spans="1:23" ht="13.5" thickBot="1" x14ac:dyDescent="0.3">
      <c r="A9" s="211"/>
      <c r="C9" s="207"/>
      <c r="O9" s="213" t="s">
        <v>48</v>
      </c>
      <c r="P9" s="232" t="e">
        <f>P6/P7</f>
        <v>#DIV/0!</v>
      </c>
    </row>
    <row r="10" spans="1:23" x14ac:dyDescent="0.25">
      <c r="A10" s="211"/>
      <c r="B10" s="43" t="s">
        <v>22</v>
      </c>
      <c r="C10" s="39" t="str">
        <f>IF(C3="Average","(Tj-16) / (-10-16) %",IF(C3="Warmer","(Tj-16) / (+2-16) %","(Tj-16) / (-22-16) %"))</f>
        <v>(Tj-16) / (-10-16) %</v>
      </c>
      <c r="D10" s="39"/>
      <c r="O10" s="205" t="s">
        <v>52</v>
      </c>
      <c r="P10" s="58">
        <v>2.5</v>
      </c>
    </row>
    <row r="11" spans="1:23" x14ac:dyDescent="0.25">
      <c r="A11" s="211"/>
      <c r="B11" s="214"/>
      <c r="C11" s="215"/>
      <c r="H11" s="207"/>
      <c r="O11" s="43" t="s">
        <v>54</v>
      </c>
      <c r="P11" s="36">
        <v>3</v>
      </c>
      <c r="Q11" s="49" t="s">
        <v>27</v>
      </c>
    </row>
    <row r="12" spans="1:23" ht="25.5" x14ac:dyDescent="0.25">
      <c r="A12" s="211"/>
      <c r="B12" s="105" t="s">
        <v>26</v>
      </c>
      <c r="C12" s="106" t="s">
        <v>105</v>
      </c>
      <c r="D12" s="106" t="s">
        <v>106</v>
      </c>
      <c r="E12" s="106" t="s">
        <v>25</v>
      </c>
      <c r="F12" s="106" t="s">
        <v>22</v>
      </c>
      <c r="G12" s="106" t="s">
        <v>28</v>
      </c>
      <c r="H12" s="106" t="s">
        <v>29</v>
      </c>
      <c r="I12" s="106" t="s">
        <v>30</v>
      </c>
      <c r="J12" s="106" t="s">
        <v>207</v>
      </c>
      <c r="K12" s="106" t="s">
        <v>205</v>
      </c>
      <c r="L12" s="106" t="s">
        <v>36</v>
      </c>
      <c r="M12" s="106" t="s">
        <v>31</v>
      </c>
      <c r="O12" s="43" t="s">
        <v>80</v>
      </c>
      <c r="P12" s="36">
        <f>IF(B7="Ground Source",5,0)</f>
        <v>0</v>
      </c>
      <c r="Q12" s="49" t="s">
        <v>27</v>
      </c>
    </row>
    <row r="13" spans="1:23" ht="15.75" x14ac:dyDescent="0.25">
      <c r="B13" s="225"/>
      <c r="C13" s="226"/>
      <c r="D13" s="226"/>
      <c r="E13" s="227"/>
      <c r="F13" s="224" t="s">
        <v>27</v>
      </c>
      <c r="G13" s="224" t="s">
        <v>20</v>
      </c>
      <c r="H13" s="224" t="s">
        <v>20</v>
      </c>
      <c r="I13" s="224" t="s">
        <v>178</v>
      </c>
      <c r="J13" s="224" t="s">
        <v>73</v>
      </c>
      <c r="K13" s="224" t="s">
        <v>74</v>
      </c>
      <c r="L13" s="224"/>
      <c r="M13" s="224" t="s">
        <v>179</v>
      </c>
      <c r="O13" s="43" t="s">
        <v>118</v>
      </c>
      <c r="P13" s="36">
        <f>P11+P12</f>
        <v>3</v>
      </c>
      <c r="Q13" s="49" t="s">
        <v>27</v>
      </c>
    </row>
    <row r="14" spans="1:23" ht="13.5" thickBot="1" x14ac:dyDescent="0.3">
      <c r="A14" s="211"/>
      <c r="B14" s="43"/>
      <c r="C14" s="36">
        <v>-15</v>
      </c>
      <c r="D14" s="216" t="str">
        <f>IF($C$3="Average","Not Applicable",IF($C$3="Warmer","Not Applicable",IF($C$3="Colder",(minus15-16)/(Tdesignh-16),"Check Value")))</f>
        <v>Not Applicable</v>
      </c>
      <c r="E14" s="216" t="str">
        <f>IF($C$3="Average","Not Applicable",IF($C$3="Warmer","Not Applicable",IF($C$3="Colder",(minus15-16)/(Tdesignh-16),"Check Value")))</f>
        <v>Not Applicable</v>
      </c>
      <c r="F14" s="216"/>
      <c r="G14" s="36"/>
      <c r="H14" s="36"/>
      <c r="I14" s="36"/>
      <c r="J14" s="36"/>
      <c r="K14" s="36"/>
      <c r="L14" s="36"/>
      <c r="M14" s="36"/>
    </row>
    <row r="15" spans="1:23" ht="13.5" thickBot="1" x14ac:dyDescent="0.3">
      <c r="A15" s="211"/>
      <c r="B15" s="217" t="s">
        <v>15</v>
      </c>
      <c r="C15" s="217">
        <v>-7</v>
      </c>
      <c r="D15" s="36">
        <f>IF('ErP Inputs'!E4="Ground Source",0,IF('ErP Inputs'!E4="Air to Water",-7,IF('ErP Inputs'!E4="Air to Air",-7,10)))</f>
        <v>-7</v>
      </c>
      <c r="E15" s="217" t="str">
        <f>'ErP Inputs'!F29</f>
        <v>20</v>
      </c>
      <c r="F15" s="218">
        <f t="shared" ref="F15:F19" si="0">(C15-16)/(Tdesignh-16)</f>
        <v>0.88461538461538458</v>
      </c>
      <c r="G15" s="191">
        <f t="shared" ref="G15:G19" si="1">F15*$C$5</f>
        <v>0</v>
      </c>
      <c r="H15" s="191">
        <f>'ErP Inputs'!E30</f>
        <v>0</v>
      </c>
      <c r="I15" s="191">
        <f>'ErP Inputs'!E31</f>
        <v>0</v>
      </c>
      <c r="J15" s="191">
        <f>IF('ErP Inputs'!E32="",IF('ErP Inputs'!E4="Air to Air",0.25,0.9),'ErP Inputs'!E32)</f>
        <v>0.25</v>
      </c>
      <c r="K15" s="191" t="e">
        <f t="shared" ref="K15:K19" si="2">IF(H15&lt;G15,1,G15/H15)</f>
        <v>#DIV/0!</v>
      </c>
      <c r="L15" s="191" t="e">
        <f t="shared" ref="L15:L19" si="3">K15/(J15*K15+(1-J15))</f>
        <v>#DIV/0!</v>
      </c>
      <c r="M15" s="191" t="e">
        <f>IF(K15&gt;=0.9,I15,I15*(1-J15*(1-K15)))</f>
        <v>#DIV/0!</v>
      </c>
      <c r="O15" s="213" t="s">
        <v>51</v>
      </c>
      <c r="P15" s="231" t="e">
        <f>(100/P10)*P9-P13</f>
        <v>#DIV/0!</v>
      </c>
    </row>
    <row r="16" spans="1:23" ht="13.5" thickBot="1" x14ac:dyDescent="0.3">
      <c r="B16" s="217" t="s">
        <v>16</v>
      </c>
      <c r="C16" s="217">
        <v>2</v>
      </c>
      <c r="D16" s="36">
        <f>IF('ErP Inputs'!E4="Ground Source",0,IF('ErP Inputs'!E4="Air to Water",2,IF('ErP Inputs'!E4="Air to Air",2,10)))</f>
        <v>2</v>
      </c>
      <c r="E16" s="217" t="str">
        <f>'ErP Inputs'!H29</f>
        <v>20</v>
      </c>
      <c r="F16" s="218">
        <f t="shared" si="0"/>
        <v>0.53846153846153844</v>
      </c>
      <c r="G16" s="191">
        <f t="shared" si="1"/>
        <v>0</v>
      </c>
      <c r="H16" s="191">
        <f>'ErP Inputs'!G30</f>
        <v>0</v>
      </c>
      <c r="I16" s="191">
        <f>'ErP Inputs'!G31</f>
        <v>0</v>
      </c>
      <c r="J16" s="191">
        <f>IF('ErP Inputs'!G32="",IF('ErP Inputs'!E4="Air to Air",0.25,0.9),'ErP Inputs'!G32)</f>
        <v>0.25</v>
      </c>
      <c r="K16" s="191" t="e">
        <f t="shared" si="2"/>
        <v>#DIV/0!</v>
      </c>
      <c r="L16" s="191" t="e">
        <f t="shared" si="3"/>
        <v>#DIV/0!</v>
      </c>
      <c r="M16" s="191" t="e">
        <f>IF(K16&gt;=0.9,I16,I16*(1-J16*(1-K16)))</f>
        <v>#DIV/0!</v>
      </c>
    </row>
    <row r="17" spans="2:20" ht="13.5" thickBot="1" x14ac:dyDescent="0.3">
      <c r="B17" s="217" t="s">
        <v>17</v>
      </c>
      <c r="C17" s="217">
        <v>7</v>
      </c>
      <c r="D17" s="36">
        <f>IF('ErP Inputs'!E4="Ground Source",0,IF('ErP Inputs'!E4="Air to Water",7,IF('ErP Inputs'!E4="Air to Air",7,10)))</f>
        <v>7</v>
      </c>
      <c r="E17" s="217" t="str">
        <f>'ErP Inputs'!J29</f>
        <v>20</v>
      </c>
      <c r="F17" s="218">
        <f t="shared" si="0"/>
        <v>0.34615384615384615</v>
      </c>
      <c r="G17" s="191">
        <f t="shared" si="1"/>
        <v>0</v>
      </c>
      <c r="H17" s="191">
        <f>'ErP Inputs'!I30</f>
        <v>0</v>
      </c>
      <c r="I17" s="191">
        <f>'ErP Inputs'!I31</f>
        <v>0</v>
      </c>
      <c r="J17" s="191">
        <f>IF('ErP Inputs'!I32="",IF('ErP Inputs'!E4="Air to Air",0.25,0.9),'ErP Inputs'!I32)</f>
        <v>0.25</v>
      </c>
      <c r="K17" s="191" t="e">
        <f t="shared" si="2"/>
        <v>#DIV/0!</v>
      </c>
      <c r="L17" s="191" t="e">
        <f t="shared" si="3"/>
        <v>#DIV/0!</v>
      </c>
      <c r="M17" s="191" t="e">
        <f>IF(K17&gt;=0.9,I17,I17*(1-J17*(1-K17)))</f>
        <v>#DIV/0!</v>
      </c>
      <c r="O17" s="213" t="s">
        <v>53</v>
      </c>
      <c r="P17" s="229" t="e">
        <f>IF(P15&gt;=150,"A++",IF(AND(P15&lt;150,P15&gt;=123),"A+",IF(AND(P15&lt;123,P15&gt;=115),"A",IF(AND(P15&lt;115,P15&gt;=107),"B",IF(AND(P15&lt;107,P15&gt;=100),"C",IF(AND(P15&lt;100,P15&gt;=61),"D",IF(AND(P15&lt;61,P15&gt;=59),"E",IF(AND(P15&lt;59,P15&gt;=55),"F","G"))))))))</f>
        <v>#DIV/0!</v>
      </c>
    </row>
    <row r="18" spans="2:20" ht="13.5" thickBot="1" x14ac:dyDescent="0.3">
      <c r="B18" s="217" t="s">
        <v>18</v>
      </c>
      <c r="C18" s="217">
        <v>12</v>
      </c>
      <c r="D18" s="36">
        <f>IF('ErP Inputs'!E4="Ground Source",0,IF('ErP Inputs'!E4="Air to Water",12,IF('ErP Inputs'!E4="Air to Air",12,10)))</f>
        <v>12</v>
      </c>
      <c r="E18" s="217" t="str">
        <f>'ErP Inputs'!L29</f>
        <v>20</v>
      </c>
      <c r="F18" s="218">
        <f t="shared" si="0"/>
        <v>0.15384615384615385</v>
      </c>
      <c r="G18" s="191">
        <f t="shared" si="1"/>
        <v>0</v>
      </c>
      <c r="H18" s="191">
        <f>'ErP Inputs'!K30</f>
        <v>0</v>
      </c>
      <c r="I18" s="191">
        <f>'ErP Inputs'!K31</f>
        <v>0</v>
      </c>
      <c r="J18" s="191">
        <f>IF('ErP Inputs'!K32="",IF('ErP Inputs'!E4="Air to Air",0.25,0.9),'ErP Inputs'!K32)</f>
        <v>0.25</v>
      </c>
      <c r="K18" s="191" t="e">
        <f t="shared" si="2"/>
        <v>#DIV/0!</v>
      </c>
      <c r="L18" s="191" t="e">
        <f t="shared" si="3"/>
        <v>#DIV/0!</v>
      </c>
      <c r="M18" s="191" t="e">
        <f>IF(K18&gt;=0.9,I18,I18*(1-J18*(1-K18)))</f>
        <v>#DIV/0!</v>
      </c>
    </row>
    <row r="19" spans="2:20" ht="15" thickBot="1" x14ac:dyDescent="0.3">
      <c r="B19" s="217" t="s">
        <v>104</v>
      </c>
      <c r="C19" s="217" t="str">
        <f>IF(OR('ErP Inputs'!E4="Ground Source",'ErP Inputs'!E4="Water Source"),-10,IF('ErP Inputs'!D45&gt;-7,"N/A",IF(AND('ErP Inputs'!D45&gt;=Tdesignh,'ErP Inputs'!D45&lt;=-7),'ErP Inputs'!D45,Tdesignh)))</f>
        <v>N/A</v>
      </c>
      <c r="D19" s="36" t="str">
        <f>IF('ErP Inputs'!E4="Ground Source",0,IF('ErP Inputs'!E4="Air to Water",C19,IF('ErP Inputs'!E4="Air to Air",C19,10)))</f>
        <v>N/A</v>
      </c>
      <c r="E19" s="217" t="str">
        <f>'ErP Inputs'!N29</f>
        <v>20</v>
      </c>
      <c r="F19" s="218" t="e">
        <f t="shared" si="0"/>
        <v>#VALUE!</v>
      </c>
      <c r="G19" s="191" t="e">
        <f t="shared" si="1"/>
        <v>#VALUE!</v>
      </c>
      <c r="H19" s="191">
        <f>'ErP Inputs'!M30</f>
        <v>0</v>
      </c>
      <c r="I19" s="191">
        <f>'ErP Inputs'!M31</f>
        <v>0</v>
      </c>
      <c r="J19" s="191">
        <f>IF('ErP Inputs'!M32="",IF('ErP Inputs'!E4="Air to Air",0.25,0.9),'ErP Inputs'!M32)</f>
        <v>0.25</v>
      </c>
      <c r="K19" s="191" t="e">
        <f t="shared" si="2"/>
        <v>#VALUE!</v>
      </c>
      <c r="L19" s="191" t="e">
        <f t="shared" si="3"/>
        <v>#VALUE!</v>
      </c>
      <c r="M19" s="191" t="e">
        <f>IF(K19&gt;=0.9,I19,I19*(1-J19*(1-K19)))</f>
        <v>#VALUE!</v>
      </c>
      <c r="O19" s="213" t="s">
        <v>119</v>
      </c>
      <c r="P19" s="230" t="str">
        <f>IF(P20=FALSE,MAX(R29:R54),"N/A")</f>
        <v>N/A</v>
      </c>
      <c r="Q19" s="229" t="s">
        <v>162</v>
      </c>
    </row>
    <row r="20" spans="2:20" x14ac:dyDescent="0.25">
      <c r="B20" s="217" t="s">
        <v>123</v>
      </c>
      <c r="C20" s="217">
        <f>IF('ErP Inputs'!H18=(FALSE),"N/A",'ErP Inputs'!D18)</f>
        <v>5</v>
      </c>
      <c r="D20" s="36">
        <f>C20</f>
        <v>5</v>
      </c>
      <c r="E20" s="217">
        <f>IF('ErP Inputs'!H18=(FALSE),"N/A",'ErP Inputs'!E18)</f>
        <v>0</v>
      </c>
      <c r="F20" s="218">
        <f>IF('ErP Inputs'!H18=(FALSE),"N/A",(C20-16)/(Tdesignh-16))</f>
        <v>0.42307692307692307</v>
      </c>
      <c r="G20" s="191">
        <f>IF('ErP Inputs'!H18=(FALSE),"N/A",F20*$C$5)</f>
        <v>0</v>
      </c>
      <c r="H20" s="191">
        <f>IF('ErP Inputs'!H18=(FALSE),"N/A",'ErP Inputs'!O30)</f>
        <v>0</v>
      </c>
      <c r="I20" s="191">
        <f>IF('ErP Inputs'!H18=(FALSE),"N/A",'ErP Inputs'!O31)</f>
        <v>0</v>
      </c>
      <c r="J20" s="191">
        <f>IF('ErP Inputs'!H18=(FALSE),"N/A",IF('ErP Inputs'!O32="",IF('ErP Inputs'!E4="Air to Air",0.25,0.9),'ErP Inputs'!O32))</f>
        <v>0.25</v>
      </c>
      <c r="K20" s="191" t="e">
        <f>IF('ErP Inputs'!H18=(FALSE),"N/A",IF(H20&lt;G20,1,G20/H20))</f>
        <v>#DIV/0!</v>
      </c>
      <c r="L20" s="191" t="e">
        <f>IF('ErP Inputs'!H18=(FALSE),"N/A",K20/(J20*K20+(1-J20)))</f>
        <v>#DIV/0!</v>
      </c>
      <c r="M20" s="191" t="e">
        <f>IF('ErP Inputs'!H18=(FALSE),"N/A",IF(K20&gt;=0.9,I20,I20*(1-J20*(1-K20))))</f>
        <v>#DIV/0!</v>
      </c>
      <c r="P20" s="233" t="b">
        <f>ISERROR(M25)</f>
        <v>1</v>
      </c>
    </row>
    <row r="21" spans="2:20" x14ac:dyDescent="0.25">
      <c r="B21" s="92" t="s">
        <v>150</v>
      </c>
      <c r="C21" s="92"/>
      <c r="D21" s="92"/>
      <c r="E21" s="92"/>
      <c r="F21" s="92"/>
      <c r="G21" s="92"/>
      <c r="H21" s="92"/>
      <c r="I21" s="92"/>
      <c r="J21" s="92"/>
      <c r="K21" s="92"/>
      <c r="L21" s="92"/>
      <c r="M21" s="92"/>
      <c r="P21" s="233"/>
    </row>
    <row r="22" spans="2:20" x14ac:dyDescent="0.25">
      <c r="B22" s="255" t="s">
        <v>204</v>
      </c>
      <c r="C22" s="255"/>
      <c r="D22" s="255"/>
      <c r="E22" s="255"/>
      <c r="F22" s="255"/>
      <c r="G22" s="255"/>
      <c r="H22" s="255"/>
      <c r="I22" s="255"/>
      <c r="J22" s="255"/>
      <c r="K22" s="255"/>
      <c r="L22" s="255"/>
      <c r="M22" s="255"/>
      <c r="P22" s="233"/>
    </row>
    <row r="23" spans="2:20" x14ac:dyDescent="0.25">
      <c r="B23" s="255" t="s">
        <v>206</v>
      </c>
      <c r="C23" s="255"/>
      <c r="D23" s="255"/>
      <c r="E23" s="255"/>
      <c r="F23" s="255"/>
      <c r="G23" s="255"/>
      <c r="H23" s="255"/>
      <c r="I23" s="255"/>
      <c r="J23" s="255"/>
      <c r="K23" s="255"/>
      <c r="L23" s="255"/>
      <c r="M23" s="255"/>
      <c r="P23" s="233"/>
    </row>
    <row r="24" spans="2:20" ht="13.5" thickBot="1" x14ac:dyDescent="0.3"/>
    <row r="25" spans="2:20" ht="15" thickBot="1" x14ac:dyDescent="0.3">
      <c r="L25" s="234" t="s">
        <v>194</v>
      </c>
      <c r="M25" s="231" t="e">
        <f>M56</f>
        <v>#DIV/0!</v>
      </c>
      <c r="O25" s="234" t="s">
        <v>195</v>
      </c>
      <c r="P25" s="231" t="e">
        <f>P56</f>
        <v>#VALUE!</v>
      </c>
    </row>
    <row r="26" spans="2:20" ht="52.5" customHeight="1" x14ac:dyDescent="0.25">
      <c r="B26" s="105" t="s">
        <v>32</v>
      </c>
      <c r="C26" s="106" t="s">
        <v>33</v>
      </c>
      <c r="D26" s="105" t="s">
        <v>34</v>
      </c>
      <c r="E26" s="105" t="s">
        <v>22</v>
      </c>
      <c r="F26" s="105" t="s">
        <v>28</v>
      </c>
      <c r="G26" s="106" t="s">
        <v>39</v>
      </c>
      <c r="H26" s="106" t="s">
        <v>37</v>
      </c>
      <c r="I26" s="106" t="s">
        <v>35</v>
      </c>
      <c r="J26" s="106" t="s">
        <v>38</v>
      </c>
      <c r="K26" s="106" t="s">
        <v>40</v>
      </c>
      <c r="L26" s="106" t="s">
        <v>189</v>
      </c>
      <c r="M26" s="106" t="s">
        <v>41</v>
      </c>
      <c r="O26" s="106" t="s">
        <v>42</v>
      </c>
      <c r="P26" s="106" t="s">
        <v>44</v>
      </c>
    </row>
    <row r="27" spans="2:20" ht="15.75" x14ac:dyDescent="0.25">
      <c r="B27" s="235" t="s">
        <v>0</v>
      </c>
      <c r="C27" s="235" t="s">
        <v>196</v>
      </c>
      <c r="D27" s="235" t="s">
        <v>197</v>
      </c>
      <c r="E27" s="235"/>
      <c r="F27" s="235" t="s">
        <v>198</v>
      </c>
      <c r="G27" s="235" t="s">
        <v>199</v>
      </c>
      <c r="H27" s="236"/>
      <c r="I27" s="237"/>
      <c r="J27" s="235" t="s">
        <v>200</v>
      </c>
      <c r="K27" s="235" t="s">
        <v>201</v>
      </c>
      <c r="L27" s="238"/>
      <c r="M27" s="235" t="s">
        <v>202</v>
      </c>
      <c r="O27" s="224" t="s">
        <v>43</v>
      </c>
      <c r="P27" s="224" t="s">
        <v>187</v>
      </c>
    </row>
    <row r="28" spans="2:20" ht="14.25" x14ac:dyDescent="0.25">
      <c r="B28" s="173"/>
      <c r="C28" s="173" t="s">
        <v>155</v>
      </c>
      <c r="D28" s="173" t="s">
        <v>4</v>
      </c>
      <c r="E28" s="173"/>
      <c r="F28" s="173" t="s">
        <v>20</v>
      </c>
      <c r="G28" s="173" t="s">
        <v>21</v>
      </c>
      <c r="H28" s="173" t="s">
        <v>20</v>
      </c>
      <c r="I28" s="173" t="s">
        <v>20</v>
      </c>
      <c r="J28" s="174" t="s">
        <v>20</v>
      </c>
      <c r="K28" s="173" t="s">
        <v>21</v>
      </c>
      <c r="L28" s="174"/>
      <c r="M28" s="173" t="s">
        <v>21</v>
      </c>
      <c r="O28" s="173" t="s">
        <v>21</v>
      </c>
      <c r="P28" s="173" t="s">
        <v>21</v>
      </c>
    </row>
    <row r="29" spans="2:20" x14ac:dyDescent="0.25">
      <c r="B29" s="36">
        <v>21</v>
      </c>
      <c r="C29" s="36">
        <v>-10</v>
      </c>
      <c r="D29" s="36">
        <f>HLOOKUP($C$3,'Table 37'!$B$3:$F$51,24,FALSE)</f>
        <v>1</v>
      </c>
      <c r="E29" s="219">
        <f t="shared" ref="E29:E54" si="4">(C29-16)/(Tdesignh-16)</f>
        <v>1</v>
      </c>
      <c r="F29" s="219">
        <f>$C$5*E29</f>
        <v>0</v>
      </c>
      <c r="G29" s="220">
        <f t="shared" ref="G29:G54" si="5">D29*F29</f>
        <v>0</v>
      </c>
      <c r="H29" s="157">
        <f>IF(C19&gt;C29,0,H19)</f>
        <v>0</v>
      </c>
      <c r="I29" s="157">
        <f>IF(F29&lt;H29,F29,H29)</f>
        <v>0</v>
      </c>
      <c r="J29" s="221">
        <f>IF(H29&gt;0.9*F29,0,F29-H29)</f>
        <v>0</v>
      </c>
      <c r="K29" s="220" t="e">
        <f>IF(C19="N/A",#DIV/0!,J29*D29)</f>
        <v>#DIV/0!</v>
      </c>
      <c r="L29" s="244" t="e">
        <f>COPPL_TOL</f>
        <v>#VALUE!</v>
      </c>
      <c r="M29" s="220" t="e">
        <f>IFERROR(D29*((F29-J29)/L29+J29),K29)</f>
        <v>#DIV/0!</v>
      </c>
      <c r="N29" s="210"/>
      <c r="O29" s="220">
        <f t="shared" ref="O29:O54" si="6">D29*(F29-J29)</f>
        <v>0</v>
      </c>
      <c r="P29" s="220" t="e">
        <f>IF(O29=0,K29,IF(E29&lt;1,D29*P29/L29,D29*(F29-J29)/L29))</f>
        <v>#DIV/0!</v>
      </c>
      <c r="Q29" s="239" t="e">
        <f>IF(AND(F29*0.9&gt;H29,F30*0.9&lt;H30),C29,-10)</f>
        <v>#VALUE!</v>
      </c>
      <c r="R29" s="240" t="e">
        <f>IF(Q29=FALSE,"N/A",C29)</f>
        <v>#VALUE!</v>
      </c>
      <c r="S29" s="222"/>
      <c r="T29" s="209"/>
    </row>
    <row r="30" spans="2:20" x14ac:dyDescent="0.25">
      <c r="B30" s="36">
        <v>22</v>
      </c>
      <c r="C30" s="36">
        <v>-9</v>
      </c>
      <c r="D30" s="36">
        <f>HLOOKUP($C$3,'Table 37'!$B$3:$F$51,25,FALSE)</f>
        <v>25</v>
      </c>
      <c r="E30" s="219">
        <f t="shared" si="4"/>
        <v>0.96153846153846156</v>
      </c>
      <c r="F30" s="219">
        <f t="shared" ref="F30:F54" si="7">$C$5*E30</f>
        <v>0</v>
      </c>
      <c r="G30" s="220">
        <f t="shared" si="5"/>
        <v>0</v>
      </c>
      <c r="H30" s="191" t="e">
        <f>IF(('ErP Inputs'!$H$18)=(TRUE),IF(AND($C$20&lt;$C$15,$C$20&gt;C$19),IF($C$20=C30,$H$20,IF($C$20&gt;C30,(($H$20-$H$19)/($C$20-$C$19)*(C30-$C$20)+$H$20),(($H$15-$H$20)/($C$15-$C$20)*(C30-$C$15)+$H$15))),(($H$15-$H$19)/($C$15-$C$19)*(C30-$C$15)+$H$15)),(($H$15-$H$19)/($C$15-$C$19)*(C30-$C$15)+$H$15))</f>
        <v>#VALUE!</v>
      </c>
      <c r="I30" s="219" t="e">
        <f>IF(H30=0,0,IF(F30&lt;(($H$15-$H$19)/($C$15-$C$19)*(C30-$C$19)+$H$19),F30,(($H$15-$H$19)/($C$15-$C$19)*(C30-$C$19)+$H$19)))</f>
        <v>#VALUE!</v>
      </c>
      <c r="J30" s="221" t="e">
        <f t="shared" ref="J30:J54" si="8">IF(H30&gt;0.9*F30,0,F30-H30)</f>
        <v>#VALUE!</v>
      </c>
      <c r="K30" s="220" t="e">
        <f t="shared" ref="K30:K54" si="9">J30*D30</f>
        <v>#VALUE!</v>
      </c>
      <c r="L30" s="221" t="e">
        <f>IF(('ErP Inputs'!$H$18)=(TRUE),IF(AND($C$20&lt;$C$15,$C$20&gt;C$19),IF($C$20=C30,COPPL_Tbiv,IF($C$20&gt;C30,((COPPL_Tbiv-COPPL_TOL)/($C$20-$C$19)*(C30-$C$20)+COPPL_TOL),((COPPL_a-COPPL_TOL)/($C$15-$C$20)*(C30-$C$15)+COPPL_a))),((COPPL_a-COPPL_TOL)/($C$15-$C$19)*(C30-$C$15)+COPPL_a)),((COPPL_a-COPPL_TOL)/($C$15-$C$19)*(C30-$C$15)+COPPL_a))</f>
        <v>#DIV/0!</v>
      </c>
      <c r="M30" s="220" t="e">
        <f>IFERROR(D30*((F30-J30)/L30+J30),K30)</f>
        <v>#VALUE!</v>
      </c>
      <c r="N30" s="210"/>
      <c r="O30" s="220" t="e">
        <f t="shared" si="6"/>
        <v>#VALUE!</v>
      </c>
      <c r="P30" s="220" t="e">
        <f>IF(O29=0,K30,D30*(F30-J30)/L30)</f>
        <v>#VALUE!</v>
      </c>
      <c r="Q30" s="239" t="e">
        <f t="shared" ref="Q30:Q41" si="10">IF(AND(F30*0.9&gt;H30,F31*0.9&lt;H31),C30,FALSE)</f>
        <v>#VALUE!</v>
      </c>
      <c r="R30" s="240" t="e">
        <f t="shared" ref="R30:R54" si="11">IF(Q30=FALSE,"N/A",C30)</f>
        <v>#VALUE!</v>
      </c>
      <c r="S30" s="222"/>
    </row>
    <row r="31" spans="2:20" x14ac:dyDescent="0.25">
      <c r="B31" s="36">
        <v>23</v>
      </c>
      <c r="C31" s="36">
        <v>-8</v>
      </c>
      <c r="D31" s="36">
        <f>HLOOKUP($C$3,'Table 37'!$B$3:$F$51,26,FALSE)</f>
        <v>23</v>
      </c>
      <c r="E31" s="219">
        <f t="shared" si="4"/>
        <v>0.92307692307692313</v>
      </c>
      <c r="F31" s="219">
        <f t="shared" si="7"/>
        <v>0</v>
      </c>
      <c r="G31" s="220">
        <f t="shared" si="5"/>
        <v>0</v>
      </c>
      <c r="H31" s="191" t="e">
        <f>IF(('ErP Inputs'!$H$18)=(TRUE),IF(AND($C$20&lt;$C$15,$C$20&gt;C$19),IF($C$20=C31,$H$20,IF($C$20&gt;C31,(($H$20-$H$19)/($C$20-$C$19)*(C31-$C$20)+$H$20),(($H$15-$H$20)/($C$15-$C$20)*(C31-$C$15)+$H$15))),(($H$15-$H$19)/($C$15-$C$19)*(C31-$C$15)+$H$15)),(($H$15-$H$19)/($C$15-$C$19)*(C31-$C$15)+$H$15))</f>
        <v>#VALUE!</v>
      </c>
      <c r="I31" s="219">
        <f>IF(C19&gt;=-7,0,IF(F31&lt;(($H$15-$H$19)/($C$15-$C$19)*(C31-$C$19)+$H$19),F31,(($H$15-$H$19)/($C$15-$C$19)*(C31-$C$19)+$H$19)))</f>
        <v>0</v>
      </c>
      <c r="J31" s="221" t="e">
        <f t="shared" si="8"/>
        <v>#VALUE!</v>
      </c>
      <c r="K31" s="220" t="e">
        <f t="shared" si="9"/>
        <v>#VALUE!</v>
      </c>
      <c r="L31" s="221" t="e">
        <f>IF(('ErP Inputs'!$H$18)=(TRUE),IF(AND($C$20&lt;$C$15,$C$20&gt;C$19),IF($C$20=C31,COPPL_Tbiv,IF($C$20&gt;C31,((COPPL_Tbiv-COPPL_TOL)/($C$20-$C$19)*(C31-$C$20)+COPPL_TOL),((COPPL_a-COPPL_Tbiv)/($C$15-$C$20)*(C31-$C$15)+COPPL_a))),((COPPL_a-COPPL_TOL)/($C$15-$C$19)*(C31-$C$15)+COPPL_a)),((COPPL_a-COPPL_TOL)/($C$15-$C$19)*(C31-$C$15)+COPPL_a))</f>
        <v>#DIV/0!</v>
      </c>
      <c r="M31" s="220" t="e">
        <f>IFERROR(D31*((F31-J31)/L31+J31),K31)</f>
        <v>#VALUE!</v>
      </c>
      <c r="N31" s="210"/>
      <c r="O31" s="220" t="e">
        <f t="shared" si="6"/>
        <v>#VALUE!</v>
      </c>
      <c r="P31" s="220" t="e">
        <f>IF(O29=0,K31,D31*(F31-J31)/L31)</f>
        <v>#VALUE!</v>
      </c>
      <c r="Q31" s="239" t="e">
        <f t="shared" si="10"/>
        <v>#VALUE!</v>
      </c>
      <c r="R31" s="240" t="e">
        <f t="shared" si="11"/>
        <v>#VALUE!</v>
      </c>
      <c r="S31" s="222"/>
    </row>
    <row r="32" spans="2:20" x14ac:dyDescent="0.25">
      <c r="B32" s="36">
        <v>24</v>
      </c>
      <c r="C32" s="36">
        <v>-7</v>
      </c>
      <c r="D32" s="36">
        <f>HLOOKUP($C$3,'Table 37'!$B$3:$F$51,27,FALSE)</f>
        <v>24</v>
      </c>
      <c r="E32" s="219">
        <f t="shared" si="4"/>
        <v>0.88461538461538458</v>
      </c>
      <c r="F32" s="219">
        <f t="shared" si="7"/>
        <v>0</v>
      </c>
      <c r="G32" s="220">
        <f t="shared" si="5"/>
        <v>0</v>
      </c>
      <c r="H32" s="157">
        <f>H15</f>
        <v>0</v>
      </c>
      <c r="I32" s="157">
        <f>IF(F32&lt;H15,F32,H15)</f>
        <v>0</v>
      </c>
      <c r="J32" s="221">
        <f t="shared" si="8"/>
        <v>0</v>
      </c>
      <c r="K32" s="220">
        <f t="shared" si="9"/>
        <v>0</v>
      </c>
      <c r="L32" s="244" t="e">
        <f>COPPL_a</f>
        <v>#DIV/0!</v>
      </c>
      <c r="M32" s="220" t="e">
        <f t="shared" ref="M32:M54" si="12">D32*((F32-J32)/L32+J32)</f>
        <v>#DIV/0!</v>
      </c>
      <c r="N32" s="210"/>
      <c r="O32" s="220">
        <f t="shared" si="6"/>
        <v>0</v>
      </c>
      <c r="P32" s="220" t="e">
        <f t="shared" ref="P32:P54" si="13">D32*(F32-J32)/L32</f>
        <v>#DIV/0!</v>
      </c>
      <c r="Q32" s="239" t="b">
        <f t="shared" si="10"/>
        <v>0</v>
      </c>
      <c r="R32" s="240" t="str">
        <f t="shared" si="11"/>
        <v>N/A</v>
      </c>
      <c r="S32" s="222"/>
    </row>
    <row r="33" spans="2:19" x14ac:dyDescent="0.25">
      <c r="B33" s="36">
        <v>25</v>
      </c>
      <c r="C33" s="36">
        <v>-6</v>
      </c>
      <c r="D33" s="36">
        <f>HLOOKUP($C$3,'Table 37'!$B$3:$F$51,28,FALSE)</f>
        <v>27</v>
      </c>
      <c r="E33" s="219">
        <f t="shared" si="4"/>
        <v>0.84615384615384615</v>
      </c>
      <c r="F33" s="219">
        <f t="shared" si="7"/>
        <v>0</v>
      </c>
      <c r="G33" s="220">
        <f t="shared" si="5"/>
        <v>0</v>
      </c>
      <c r="H33" s="191">
        <f>IF(('ErP Inputs'!$H$18)=(TRUE),IF(AND($C$20&lt;$C$16,$C$20&gt;C$15),IF($C$20=C33,$H$20,IF($C$20&gt;C33,(($H$20-$H$15)/($C$20-$C$15)*(C33-$C$20)+$H$20),(($H$16-$H$20)/($C$16-$C$20)*(C33-$C$16)+$H$16))),(($H$16-$H$15)/($C$16-$C$15)*(C33-$C$15)+$H$15)),(($H$16-$H$15)/($C$16-$C$15)*(C33-$C$15)+$H$15))</f>
        <v>0</v>
      </c>
      <c r="I33" s="219">
        <f>IF(F33&lt;(($H$16-$H$15)/($C$16-$C$15)*(C33-$C$15)+$H$15),F33,(($H$16-$H$15)/($C$16-$C$15)*(C33-$C$15)+$H$15))</f>
        <v>0</v>
      </c>
      <c r="J33" s="221">
        <f t="shared" si="8"/>
        <v>0</v>
      </c>
      <c r="K33" s="220">
        <f t="shared" si="9"/>
        <v>0</v>
      </c>
      <c r="L33" s="221" t="e">
        <f>IF(('ErP Inputs'!$H$18)=(TRUE),IF(AND($C$20&lt;$C$16,$C$20&gt;C$15),IF($C$20=C33,COPPL_Tbiv,IF($C$20&gt;C33,((COPPL_Tbiv-COPPL_a)/($C$20-$C$15)*(C33-$C$20)+COPPL_Tbiv),((COPPL_b-COPPL_Tbiv)/($C$16-$C$20)*(C33-$C$16)+COPPL_b))),((COPPL_b-COPPL_a)/($C$16-$C$15)*(C33-$C$15)+COPPL_a)),((COPPL_b-COPPL_a)/($C$16-$C$15)*(C33-$C$15)+COPPL_a))</f>
        <v>#DIV/0!</v>
      </c>
      <c r="M33" s="220" t="e">
        <f t="shared" si="12"/>
        <v>#DIV/0!</v>
      </c>
      <c r="N33" s="210"/>
      <c r="O33" s="220">
        <f t="shared" si="6"/>
        <v>0</v>
      </c>
      <c r="P33" s="220" t="e">
        <f t="shared" si="13"/>
        <v>#DIV/0!</v>
      </c>
      <c r="Q33" s="239" t="b">
        <f t="shared" si="10"/>
        <v>0</v>
      </c>
      <c r="R33" s="240" t="str">
        <f t="shared" si="11"/>
        <v>N/A</v>
      </c>
      <c r="S33" s="222"/>
    </row>
    <row r="34" spans="2:19" x14ac:dyDescent="0.25">
      <c r="B34" s="36">
        <v>26</v>
      </c>
      <c r="C34" s="36">
        <v>-5</v>
      </c>
      <c r="D34" s="36">
        <f>HLOOKUP($C$3,'Table 37'!$B$3:$F$51,29,FALSE)</f>
        <v>68</v>
      </c>
      <c r="E34" s="219">
        <f t="shared" si="4"/>
        <v>0.80769230769230771</v>
      </c>
      <c r="F34" s="219">
        <f t="shared" si="7"/>
        <v>0</v>
      </c>
      <c r="G34" s="220">
        <f t="shared" si="5"/>
        <v>0</v>
      </c>
      <c r="H34" s="191">
        <f>IF(('ErP Inputs'!$H$18)=(TRUE),IF(AND($C$20&lt;$C$16,$C$20&gt;C$15),IF($C$20=C34,$H$20,IF($C$20&gt;C34,(($H$20-$H$15)/($C$20-$C$15)*(C34-$C$20)+$H$20),(($H$16-$H$20)/($C$16-$C$20)*(C34-$C$16)+$H$16))),(($H$16-$H$15)/($C$16-$C$15)*(C34-$C$15)+$H$15)),(($H$16-$H$15)/($C$16-$C$15)*(C34-$C$15)+$H$15))</f>
        <v>0</v>
      </c>
      <c r="I34" s="219">
        <f>IF(F34&lt;(($H$16-$H$15)/($C$16-$C$15)*(C34-$C$15)+$H$15),F34,(($H$16-$H$15)/($C$16-$C$15)*(C34-$C$15)+$H$15))</f>
        <v>0</v>
      </c>
      <c r="J34" s="221">
        <f t="shared" si="8"/>
        <v>0</v>
      </c>
      <c r="K34" s="220">
        <f t="shared" si="9"/>
        <v>0</v>
      </c>
      <c r="L34" s="221" t="e">
        <f>IF(('ErP Inputs'!$H$18)=(TRUE),IF(AND($C$20&lt;$C$16,$C$20&gt;C$15),IF($C$20=C34,COPPL_Tbiv,IF($C$20&gt;C34,((COPPL_Tbiv-COPPL_a)/($C$20-$C$15)*(C34-$C$20)+COPPL_Tbiv),((COPPL_b-COPPL_Tbiv)/($C$16-$C$20)*(C34-$C$16)+COPPL_b))),((COPPL_b-COPPL_a)/($C$16-$C$15)*(C34-$C$15)+COPPL_a)),((COPPL_b-COPPL_a)/($C$16-$C$15)*(C34-$C$15)+COPPL_a))</f>
        <v>#DIV/0!</v>
      </c>
      <c r="M34" s="220" t="e">
        <f t="shared" si="12"/>
        <v>#DIV/0!</v>
      </c>
      <c r="N34" s="210"/>
      <c r="O34" s="220">
        <f t="shared" si="6"/>
        <v>0</v>
      </c>
      <c r="P34" s="220" t="e">
        <f t="shared" si="13"/>
        <v>#DIV/0!</v>
      </c>
      <c r="Q34" s="239" t="b">
        <f t="shared" si="10"/>
        <v>0</v>
      </c>
      <c r="R34" s="240" t="str">
        <f t="shared" si="11"/>
        <v>N/A</v>
      </c>
      <c r="S34" s="222"/>
    </row>
    <row r="35" spans="2:19" x14ac:dyDescent="0.25">
      <c r="B35" s="36">
        <v>27</v>
      </c>
      <c r="C35" s="36">
        <v>-4</v>
      </c>
      <c r="D35" s="36">
        <f>HLOOKUP($C$3,'Table 37'!$B$3:$F$51,30,FALSE)</f>
        <v>91</v>
      </c>
      <c r="E35" s="219">
        <f t="shared" si="4"/>
        <v>0.76923076923076927</v>
      </c>
      <c r="F35" s="219">
        <f t="shared" si="7"/>
        <v>0</v>
      </c>
      <c r="G35" s="220">
        <f t="shared" si="5"/>
        <v>0</v>
      </c>
      <c r="H35" s="191">
        <f>IF(('ErP Inputs'!$H$18)=(TRUE),IF(AND($C$20&lt;$C$16,$C$20&gt;C$15),IF($C$20=C35,$H$20,IF($C$20&gt;C35,(($H$20-$H$15)/($C$20-$C$15)*(C35-$C$20)+$H$20),(($H$16-$H$20)/($C$16-$C$20)*(C35-$C$16)+$H$16))),(($H$16-$H$15)/($C$16-$C$15)*(C35-$C$15)+$H$15)),(($H$16-$H$15)/($C$16-$C$15)*(C35-$C$15)+$H$15))</f>
        <v>0</v>
      </c>
      <c r="I35" s="219">
        <f>IF(F35&lt;(($H$16-$H$15)/($C$16-$C$15)*(C35-$C$15)+$H$15),F35,(($H$16-$H$15)/($C$16-$C$15)*(C35-$C$15)+$H$15))</f>
        <v>0</v>
      </c>
      <c r="J35" s="221">
        <f t="shared" si="8"/>
        <v>0</v>
      </c>
      <c r="K35" s="220">
        <f t="shared" si="9"/>
        <v>0</v>
      </c>
      <c r="L35" s="221" t="e">
        <f>IF(('ErP Inputs'!$H$18)=(TRUE),IF(AND($C$20&lt;$C$16,$C$20&gt;C$15),IF($C$20=C35,COPPL_Tbiv,IF($C$20&gt;C35,((COPPL_Tbiv-COPPL_a)/($C$20-$C$15)*(C35-$C$20)+COPPL_Tbiv),((COPPL_b-COPPL_Tbiv)/($C$16-$C$20)*(C35-$C$16)+COPPL_b))),((COPPL_b-COPPL_a)/($C$16-$C$15)*(C35-$C$15)+COPPL_a)),((COPPL_b-COPPL_a)/($C$16-$C$15)*(C35-$C$15)+COPPL_a))</f>
        <v>#DIV/0!</v>
      </c>
      <c r="M35" s="220" t="e">
        <f t="shared" si="12"/>
        <v>#DIV/0!</v>
      </c>
      <c r="N35" s="210"/>
      <c r="O35" s="220">
        <f t="shared" si="6"/>
        <v>0</v>
      </c>
      <c r="P35" s="220" t="e">
        <f t="shared" si="13"/>
        <v>#DIV/0!</v>
      </c>
      <c r="Q35" s="239" t="b">
        <f t="shared" si="10"/>
        <v>0</v>
      </c>
      <c r="R35" s="240" t="str">
        <f t="shared" si="11"/>
        <v>N/A</v>
      </c>
      <c r="S35" s="222"/>
    </row>
    <row r="36" spans="2:19" x14ac:dyDescent="0.25">
      <c r="B36" s="36">
        <v>28</v>
      </c>
      <c r="C36" s="36">
        <v>-3</v>
      </c>
      <c r="D36" s="36">
        <f>HLOOKUP($C$3,'Table 37'!$B$3:$F$51,31,FALSE)</f>
        <v>89</v>
      </c>
      <c r="E36" s="219">
        <f t="shared" si="4"/>
        <v>0.73076923076923073</v>
      </c>
      <c r="F36" s="219">
        <f t="shared" si="7"/>
        <v>0</v>
      </c>
      <c r="G36" s="220">
        <f t="shared" si="5"/>
        <v>0</v>
      </c>
      <c r="H36" s="191">
        <f>IF(('ErP Inputs'!$H$18)=(TRUE),IF(AND($C$20&lt;$C$16,$C$20&gt;C$15),IF($C$20=C36,$H$20,IF($C$20&gt;C36,(($H$20-$H$15)/($C$20-$C$15)*(C36-$C$20)+$H$20),(($H$16-$H$20)/($C$16-$C$20)*(C36-$C$16)+$H$16))),(($H$16-$H$15)/($C$16-$C$15)*(C36-$C$15)+$H$15)),(($H$16-$H$15)/($C$16-$C$15)*(C36-$C$15)+$H$15))</f>
        <v>0</v>
      </c>
      <c r="I36" s="219">
        <f>IF(F36&lt;(($H$16-$H$15)/($C$16-$C$15)*(C36-$C$15)+$H$15),F36,(($H$16-$H$15)/($C$16-$C$15)*(C36-$C$15)+$H$15))</f>
        <v>0</v>
      </c>
      <c r="J36" s="221">
        <f t="shared" si="8"/>
        <v>0</v>
      </c>
      <c r="K36" s="220">
        <f t="shared" si="9"/>
        <v>0</v>
      </c>
      <c r="L36" s="221" t="e">
        <f>IF(('ErP Inputs'!$H$18)=(TRUE),IF(AND($C$20&lt;$C$16,$C$20&gt;C$15),IF($C$20=C36,COPPL_Tbiv,IF($C$20&gt;C36,((COPPL_Tbiv-COPPL_a)/($C$20-$C$15)*(C36-$C$20)+COPPL_Tbiv),((COPPL_b-COPPL_Tbiv)/($C$16-$C$20)*(C36-$C$16)+COPPL_b))),((COPPL_b-COPPL_a)/($C$16-$C$15)*(C36-$C$15)+COPPL_a)),((COPPL_b-COPPL_a)/($C$16-$C$15)*(C36-$C$15)+COPPL_a))</f>
        <v>#DIV/0!</v>
      </c>
      <c r="M36" s="220" t="e">
        <f t="shared" si="12"/>
        <v>#DIV/0!</v>
      </c>
      <c r="N36" s="210"/>
      <c r="O36" s="220">
        <f t="shared" si="6"/>
        <v>0</v>
      </c>
      <c r="P36" s="220" t="e">
        <f t="shared" si="13"/>
        <v>#DIV/0!</v>
      </c>
      <c r="Q36" s="239" t="b">
        <f t="shared" si="10"/>
        <v>0</v>
      </c>
      <c r="R36" s="240" t="str">
        <f t="shared" si="11"/>
        <v>N/A</v>
      </c>
      <c r="S36" s="222"/>
    </row>
    <row r="37" spans="2:19" x14ac:dyDescent="0.25">
      <c r="B37" s="36">
        <v>29</v>
      </c>
      <c r="C37" s="36">
        <v>-2</v>
      </c>
      <c r="D37" s="36">
        <f>HLOOKUP($C$3,'Table 37'!$B$3:$F$51,32,FALSE)</f>
        <v>165</v>
      </c>
      <c r="E37" s="219">
        <f t="shared" si="4"/>
        <v>0.69230769230769229</v>
      </c>
      <c r="F37" s="219">
        <f t="shared" si="7"/>
        <v>0</v>
      </c>
      <c r="G37" s="220">
        <f t="shared" si="5"/>
        <v>0</v>
      </c>
      <c r="H37" s="191">
        <f>IF(('ErP Inputs'!$H$18)=(TRUE),IF(AND($C$20&lt;$C$16,$C$20&gt;C$15),IF($C$20=C37,$H$20,IF($C$20&gt;C37,(($H$20-$H$15)/($C$20-$C$15)*(C37-$C$20)+$H$20),(($H$16-$H$20)/($C$16-$C$20)*(C37-$C$16)+$H$16))),(($H$16-$H$15)/($C$16-$C$15)*(C37-$C$15)+$H$15)),(($H$16-$H$15)/($C$16-$C$15)*(C37-$C$15)+$H$15))</f>
        <v>0</v>
      </c>
      <c r="I37" s="219">
        <f>IF(F37&lt;(($H$16-$H$15)/($C$16-$C$15)*(C37-$C$15)+$H$15),F37,(($H$16-$H$15)/($C$16-$C$15)*(C37-$C$15)+$H$15))</f>
        <v>0</v>
      </c>
      <c r="J37" s="221">
        <f t="shared" si="8"/>
        <v>0</v>
      </c>
      <c r="K37" s="220">
        <f t="shared" si="9"/>
        <v>0</v>
      </c>
      <c r="L37" s="221" t="e">
        <f>IF(('ErP Inputs'!$H$18)=(TRUE),IF(AND($C$20&lt;$C$16,$C$20&gt;C$15),IF($C$20=C37,COPPL_Tbiv,IF($C$20&gt;C37,((COPPL_Tbiv-COPPL_a)/($C$20-$C$15)*(C37-$C$20)+COPPL_Tbiv),((COPPL_b-COPPL_Tbiv)/($C$16-$C$20)*(C37-$C$16)+COPPL_b))),((COPPL_b-COPPL_a)/($C$16-$C$15)*(C37-$C$15)+COPPL_a)),((COPPL_b-COPPL_a)/($C$16-$C$15)*(C37-$C$15)+COPPL_a))</f>
        <v>#DIV/0!</v>
      </c>
      <c r="M37" s="220" t="e">
        <f t="shared" si="12"/>
        <v>#DIV/0!</v>
      </c>
      <c r="N37" s="210"/>
      <c r="O37" s="220">
        <f t="shared" si="6"/>
        <v>0</v>
      </c>
      <c r="P37" s="220" t="e">
        <f t="shared" si="13"/>
        <v>#DIV/0!</v>
      </c>
      <c r="Q37" s="239" t="b">
        <f t="shared" si="10"/>
        <v>0</v>
      </c>
      <c r="R37" s="240" t="str">
        <f t="shared" si="11"/>
        <v>N/A</v>
      </c>
      <c r="S37" s="222"/>
    </row>
    <row r="38" spans="2:19" x14ac:dyDescent="0.25">
      <c r="B38" s="36">
        <v>30</v>
      </c>
      <c r="C38" s="36">
        <v>-1</v>
      </c>
      <c r="D38" s="36">
        <f>HLOOKUP($C$3,'Table 37'!$B$3:$F$51,33,FALSE)</f>
        <v>173</v>
      </c>
      <c r="E38" s="219">
        <f t="shared" si="4"/>
        <v>0.65384615384615385</v>
      </c>
      <c r="F38" s="219">
        <f t="shared" si="7"/>
        <v>0</v>
      </c>
      <c r="G38" s="220">
        <f t="shared" si="5"/>
        <v>0</v>
      </c>
      <c r="H38" s="191">
        <f>IF(('ErP Inputs'!$H$18)=(TRUE),IF(AND($C$20&lt;$C$16,$C$20&gt;C$15),IF($C$20=C38,$H$20,IF($C$20&gt;C38,(($H$20-$H$15)/($C$20-$C$15)*(C38-$C$20)+$H$20),(($H$16-$H$20)/($C$16-$C$20)*(C38-$C$16)+$H$16))),(($H$16-$H$15)/($C$16-$C$15)*(C38-$C$15)+$H$15)),(($H$16-$H$15)/($C$16-$C$15)*(C38-$C$15)+$H$15))</f>
        <v>0</v>
      </c>
      <c r="I38" s="219">
        <f>IF(F38&lt;(($H$16-$H$15)/($C$16-$C$15)*(C38-$C$15)+$H$15),F38,(($H$16-$H$15)/($C$16-$C$15)*(C38-$C$15)+$H$15))</f>
        <v>0</v>
      </c>
      <c r="J38" s="221">
        <f t="shared" si="8"/>
        <v>0</v>
      </c>
      <c r="K38" s="220">
        <f t="shared" si="9"/>
        <v>0</v>
      </c>
      <c r="L38" s="221" t="e">
        <f>IF(('ErP Inputs'!$H$18)=(TRUE),IF(AND($C$20&lt;$C$16,$C$20&gt;C$15),IF($C$20=C38,COPPL_Tbiv,IF($C$20&gt;C38,((COPPL_Tbiv-COPPL_a)/($C$20-$C$15)*(C38-$C$20)+COPPL_Tbiv),((COPPL_b-COPPL_Tbiv)/($C$16-$C$20)*(C38-$C$16)+COPPL_b))),((COPPL_b-COPPL_a)/($C$16-$C$15)*(C38-$C$15)+COPPL_a)),((COPPL_b-COPPL_a)/($C$16-$C$15)*(C38-$C$15)+COPPL_a))</f>
        <v>#DIV/0!</v>
      </c>
      <c r="M38" s="220" t="e">
        <f t="shared" si="12"/>
        <v>#DIV/0!</v>
      </c>
      <c r="N38" s="210"/>
      <c r="O38" s="220">
        <f t="shared" si="6"/>
        <v>0</v>
      </c>
      <c r="P38" s="220" t="e">
        <f t="shared" si="13"/>
        <v>#DIV/0!</v>
      </c>
      <c r="Q38" s="239" t="b">
        <f t="shared" si="10"/>
        <v>0</v>
      </c>
      <c r="R38" s="240" t="str">
        <f t="shared" si="11"/>
        <v>N/A</v>
      </c>
      <c r="S38" s="222"/>
    </row>
    <row r="39" spans="2:19" x14ac:dyDescent="0.25">
      <c r="B39" s="36">
        <v>31</v>
      </c>
      <c r="C39" s="36">
        <v>0</v>
      </c>
      <c r="D39" s="36">
        <f>HLOOKUP($C$3,'Table 37'!$B$3:$F$51,34,FALSE)</f>
        <v>240</v>
      </c>
      <c r="E39" s="219">
        <f t="shared" si="4"/>
        <v>0.61538461538461542</v>
      </c>
      <c r="F39" s="219">
        <f t="shared" si="7"/>
        <v>0</v>
      </c>
      <c r="G39" s="220">
        <f t="shared" si="5"/>
        <v>0</v>
      </c>
      <c r="H39" s="191">
        <f>IF(('ErP Inputs'!$H$18)=(TRUE),IF(AND($C$20&lt;$C$16,$C$20&gt;C$15),IF($C$20=C39,$H$20,IF($C$20&gt;C39,(($H$20-$H$15)/($C$20-$C$15)*(C39-$C$20)+$H$20),(($H$16-$H$20)/($C$16-$C$20)*(C39-$C$16)+$H$16))),(($H$16-$H$15)/($C$16-$C$15)*(C39-$C$15)+$H$15)),(($H$16-$H$15)/($C$16-$C$15)*(C39-$C$15)+$H$15))</f>
        <v>0</v>
      </c>
      <c r="I39" s="219">
        <f>IF(F39&lt;(($H$16-$H$15)/($C$16-$C$15)*(C39-$C$15)+$H$15),F39,(($H$16-$H$15)/($C$16-$C$15)*(C39-$C$15)+$H$15))</f>
        <v>0</v>
      </c>
      <c r="J39" s="221">
        <f t="shared" si="8"/>
        <v>0</v>
      </c>
      <c r="K39" s="220">
        <f t="shared" si="9"/>
        <v>0</v>
      </c>
      <c r="L39" s="221" t="e">
        <f>IF(('ErP Inputs'!$H$18)=(TRUE),IF(AND($C$20&lt;$C$16,$C$20&gt;C$15),IF($C$20=C39,COPPL_Tbiv,IF($C$20&gt;C39,((COPPL_Tbiv-COPPL_a)/($C$20-$C$15)*(C39-$C$20)+COPPL_Tbiv),((COPPL_b-COPPL_Tbiv)/($C$16-$C$20)*(C39-$C$16)+COPPL_b))),((COPPL_b-COPPL_a)/($C$16-$C$15)*(C39-$C$15)+COPPL_a)),((COPPL_b-COPPL_a)/($C$16-$C$15)*(C39-$C$15)+COPPL_a))</f>
        <v>#DIV/0!</v>
      </c>
      <c r="M39" s="220" t="e">
        <f t="shared" si="12"/>
        <v>#DIV/0!</v>
      </c>
      <c r="N39" s="210"/>
      <c r="O39" s="220">
        <f t="shared" si="6"/>
        <v>0</v>
      </c>
      <c r="P39" s="220" t="e">
        <f t="shared" si="13"/>
        <v>#DIV/0!</v>
      </c>
      <c r="Q39" s="239" t="b">
        <f t="shared" si="10"/>
        <v>0</v>
      </c>
      <c r="R39" s="240" t="str">
        <f t="shared" si="11"/>
        <v>N/A</v>
      </c>
      <c r="S39" s="222"/>
    </row>
    <row r="40" spans="2:19" x14ac:dyDescent="0.25">
      <c r="B40" s="36">
        <v>32</v>
      </c>
      <c r="C40" s="36">
        <v>1</v>
      </c>
      <c r="D40" s="36">
        <f>HLOOKUP($C$3,'Table 37'!$B$3:$F$51,35,FALSE)</f>
        <v>280</v>
      </c>
      <c r="E40" s="219">
        <f t="shared" si="4"/>
        <v>0.57692307692307687</v>
      </c>
      <c r="F40" s="219">
        <f t="shared" si="7"/>
        <v>0</v>
      </c>
      <c r="G40" s="220">
        <f t="shared" si="5"/>
        <v>0</v>
      </c>
      <c r="H40" s="191">
        <f>IF(('ErP Inputs'!$H$18)=(TRUE),IF(AND($C$20&lt;$C$16,$C$20&gt;C$15),IF($C$20=C40,$H$20,IF($C$20&gt;C40,(($H$20-$H$15)/($C$20-$C$15)*(C40-$C$20)+$H$20),(($H$16-$H$20)/($C$16-$C$20)*(C40-$C$16)+$H$16))),(($H$16-$H$15)/($C$16-$C$15)*(C40-$C$15)+$H$15)),(($H$16-$H$15)/($C$16-$C$15)*(C40-$C$15)+$H$15))</f>
        <v>0</v>
      </c>
      <c r="I40" s="219">
        <f>IF(F40&lt;(($H$16-$H$15)/($C$16-$C$15)*(C40-$C$15)+$H$15),F40,(($H$16-$H$15)/($C$16-$C$15)*(C40-$C$15)+$H$15))</f>
        <v>0</v>
      </c>
      <c r="J40" s="221">
        <f t="shared" si="8"/>
        <v>0</v>
      </c>
      <c r="K40" s="220">
        <f t="shared" si="9"/>
        <v>0</v>
      </c>
      <c r="L40" s="221" t="e">
        <f>IF(('ErP Inputs'!$H$18)=(TRUE),IF(AND($C$20&lt;$C$16,$C$20&gt;C$15),IF($C$20=C40,COPPL_Tbiv,IF($C$20&gt;C40,((COPPL_Tbiv-COPPL_a)/($C$20-$C$15)*(C40-$C$20)+COPPL_Tbiv),((COPPL_b-COPPL_Tbiv)/($C$16-$C$20)*(C40-$C$16)+COPPL_b))),((COPPL_b-COPPL_a)/($C$16-$C$15)*(C40-$C$15)+COPPL_a)),((COPPL_b-COPPL_a)/($C$16-$C$15)*(C40-$C$15)+COPPL_a))</f>
        <v>#DIV/0!</v>
      </c>
      <c r="M40" s="220" t="e">
        <f t="shared" si="12"/>
        <v>#DIV/0!</v>
      </c>
      <c r="N40" s="210"/>
      <c r="O40" s="220">
        <f t="shared" si="6"/>
        <v>0</v>
      </c>
      <c r="P40" s="220" t="e">
        <f t="shared" si="13"/>
        <v>#DIV/0!</v>
      </c>
      <c r="Q40" s="239" t="b">
        <f t="shared" si="10"/>
        <v>0</v>
      </c>
      <c r="R40" s="240" t="str">
        <f t="shared" si="11"/>
        <v>N/A</v>
      </c>
      <c r="S40" s="222"/>
    </row>
    <row r="41" spans="2:19" x14ac:dyDescent="0.25">
      <c r="B41" s="36">
        <v>33</v>
      </c>
      <c r="C41" s="36">
        <v>2</v>
      </c>
      <c r="D41" s="36">
        <f>HLOOKUP($C$3,'Table 37'!$B$3:$F$51,36,FALSE)</f>
        <v>320</v>
      </c>
      <c r="E41" s="219">
        <f t="shared" si="4"/>
        <v>0.53846153846153844</v>
      </c>
      <c r="F41" s="219">
        <f t="shared" si="7"/>
        <v>0</v>
      </c>
      <c r="G41" s="220">
        <f t="shared" si="5"/>
        <v>0</v>
      </c>
      <c r="H41" s="157">
        <f>H16</f>
        <v>0</v>
      </c>
      <c r="I41" s="157">
        <f>IF(F41&lt;H16,F41,H16)</f>
        <v>0</v>
      </c>
      <c r="J41" s="221">
        <f t="shared" si="8"/>
        <v>0</v>
      </c>
      <c r="K41" s="220">
        <f t="shared" si="9"/>
        <v>0</v>
      </c>
      <c r="L41" s="244" t="e">
        <f>COPPL_b</f>
        <v>#DIV/0!</v>
      </c>
      <c r="M41" s="220" t="e">
        <f t="shared" si="12"/>
        <v>#DIV/0!</v>
      </c>
      <c r="N41" s="210"/>
      <c r="O41" s="220">
        <f t="shared" si="6"/>
        <v>0</v>
      </c>
      <c r="P41" s="220" t="e">
        <f t="shared" si="13"/>
        <v>#DIV/0!</v>
      </c>
      <c r="Q41" s="239" t="b">
        <f t="shared" si="10"/>
        <v>0</v>
      </c>
      <c r="R41" s="240" t="str">
        <f t="shared" si="11"/>
        <v>N/A</v>
      </c>
      <c r="S41" s="222"/>
    </row>
    <row r="42" spans="2:19" x14ac:dyDescent="0.25">
      <c r="B42" s="36">
        <v>34</v>
      </c>
      <c r="C42" s="36">
        <v>3</v>
      </c>
      <c r="D42" s="36">
        <f>HLOOKUP($C$3,'Table 37'!$B$3:$F$51,37,FALSE)</f>
        <v>357</v>
      </c>
      <c r="E42" s="219">
        <f t="shared" si="4"/>
        <v>0.5</v>
      </c>
      <c r="F42" s="219">
        <f t="shared" si="7"/>
        <v>0</v>
      </c>
      <c r="G42" s="220">
        <f t="shared" si="5"/>
        <v>0</v>
      </c>
      <c r="H42" s="219">
        <f>IF(('ErP Inputs'!$H$18)=(TRUE),IF(AND($C$20&lt;$C$17,$C$20&gt;C$16),IF($C$20=C42,$H$20,IF($C$20&gt;C42,(($H$20-$H$16)/($C$20-$C$16)*(C42-$C$20)+$H$20),(($H$17-$H$20)/($C$17-$C$20)*(C42-$C$17)+$H$17))),(($H$17-$H$16)/($C$17-$C$16)*(C42-$C$16)+$H$16)),(($H$17-$H$16)/($C$17-$C$16)*(C42-$C$16)+$H$16))</f>
        <v>0</v>
      </c>
      <c r="I42" s="219">
        <f>IF(F42&lt;(($H$17-$H$16)/($C$17-$C$16)*(C42-$C$16)+$H$16),F42,(($H$17-$H$16)/($C$17-$C$16)*(C42-$C$16)+$H$16))</f>
        <v>0</v>
      </c>
      <c r="J42" s="221">
        <f t="shared" si="8"/>
        <v>0</v>
      </c>
      <c r="K42" s="220">
        <f t="shared" si="9"/>
        <v>0</v>
      </c>
      <c r="L42" s="221" t="e">
        <f>IF(('ErP Inputs'!$H$18)=(TRUE),IF(AND($C$20&lt;$C$17,$C$20&gt;C$16),IF($C$20=C42,COPPL_Tbiv,IF($C$20&gt;C42,((COPPL_Tbiv-COPPL_b)/($C$20-$C$16)*(C42-$C$20)+COPPL_Tbiv),((COPPL_c-COPPL_Tbiv)/($C$17-$C$20)*(C42-$C$17)+COPPL_c))),((COPPL_c-COPPL_b)/($C$17-$C$16)*(C42-$C$16)+COPPL_b)),((COPPL_c-COPPL_b)/($C$17-$C$16)*(C42-$C$16)+COPPL_b))</f>
        <v>#DIV/0!</v>
      </c>
      <c r="M42" s="220" t="e">
        <f t="shared" si="12"/>
        <v>#DIV/0!</v>
      </c>
      <c r="N42" s="210"/>
      <c r="O42" s="220">
        <f t="shared" si="6"/>
        <v>0</v>
      </c>
      <c r="P42" s="220" t="e">
        <f t="shared" si="13"/>
        <v>#DIV/0!</v>
      </c>
      <c r="Q42" s="239" t="b">
        <f>IF(AND(F42*0.9&gt;H42,F43*0.9&lt;H43),C42,FALSE)</f>
        <v>0</v>
      </c>
      <c r="R42" s="240" t="str">
        <f t="shared" si="11"/>
        <v>N/A</v>
      </c>
      <c r="S42" s="222"/>
    </row>
    <row r="43" spans="2:19" x14ac:dyDescent="0.25">
      <c r="B43" s="36">
        <v>35</v>
      </c>
      <c r="C43" s="36">
        <v>4</v>
      </c>
      <c r="D43" s="36">
        <f>HLOOKUP($C$3,'Table 37'!$B$3:$F$51,38,FALSE)</f>
        <v>356</v>
      </c>
      <c r="E43" s="219">
        <f t="shared" si="4"/>
        <v>0.46153846153846156</v>
      </c>
      <c r="F43" s="219">
        <f t="shared" si="7"/>
        <v>0</v>
      </c>
      <c r="G43" s="220">
        <f t="shared" si="5"/>
        <v>0</v>
      </c>
      <c r="H43" s="219">
        <f>IF(('ErP Inputs'!$H$18)=(TRUE),IF(AND($C$20&lt;$C$17,$C$20&gt;C$16),IF($C$20=C43,$H$20,IF($C$20&gt;C43,(($H$20-$H$16)/($C$20-$C$16)*(C43-$C$20)+$H$20),(($H$17-$H$20)/($C$17-$C$20)*(C43-$C$17)+$H$17))),(($H$17-$H$16)/($C$17-$C$16)*(C43-$C$16)+$H$16)),(($H$17-$H$16)/($C$17-$C$16)*(C43-$C$16)+$H$16))</f>
        <v>0</v>
      </c>
      <c r="I43" s="219">
        <f>IF(F43&lt;(($H$17-$H$16)/($C$17-$C$16)*(C43-$C$16)+$H$16),F43,(($H$17-$H$16)/($C$17-$C$16)*(C43-$C$16)+$H$16))</f>
        <v>0</v>
      </c>
      <c r="J43" s="221">
        <f t="shared" si="8"/>
        <v>0</v>
      </c>
      <c r="K43" s="220">
        <f t="shared" si="9"/>
        <v>0</v>
      </c>
      <c r="L43" s="221" t="e">
        <f>IF(('ErP Inputs'!$H$18)=(TRUE),IF(AND($C$20&lt;$C$17,$C$20&gt;C$16),IF($C$20=C43,COPPL_Tbiv,IF($C$20&gt;C43,((COPPL_Tbiv-COPPL_b)/($C$20-$C$16)*(C43-$C$20)+COPPL_Tbiv),((COPPL_c-COPPL_Tbiv)/($C$17-$C$20)*(C43-$C$17)+COPPL_c))),((COPPL_c-COPPL_b)/($C$17-$C$16)*(C43-$C$16)+COPPL_b)),((COPPL_c-COPPL_b)/($C$17-$C$16)*(C43-$C$16)+COPPL_b))</f>
        <v>#DIV/0!</v>
      </c>
      <c r="M43" s="220" t="e">
        <f t="shared" si="12"/>
        <v>#DIV/0!</v>
      </c>
      <c r="N43" s="210"/>
      <c r="O43" s="220">
        <f t="shared" si="6"/>
        <v>0</v>
      </c>
      <c r="P43" s="220" t="e">
        <f t="shared" si="13"/>
        <v>#DIV/0!</v>
      </c>
      <c r="Q43" s="239" t="b">
        <f t="shared" ref="Q43:Q54" si="14">IF(AND(F43*0.9&gt;H43,F44*0.9&lt;H44),C43,FALSE)</f>
        <v>0</v>
      </c>
      <c r="R43" s="240" t="str">
        <f t="shared" si="11"/>
        <v>N/A</v>
      </c>
      <c r="S43" s="222"/>
    </row>
    <row r="44" spans="2:19" x14ac:dyDescent="0.25">
      <c r="B44" s="36">
        <v>36</v>
      </c>
      <c r="C44" s="36">
        <v>5</v>
      </c>
      <c r="D44" s="36">
        <f>HLOOKUP($C$3,'Table 37'!$B$3:$F$51,39,FALSE)</f>
        <v>303</v>
      </c>
      <c r="E44" s="219">
        <f t="shared" si="4"/>
        <v>0.42307692307692307</v>
      </c>
      <c r="F44" s="219">
        <f t="shared" si="7"/>
        <v>0</v>
      </c>
      <c r="G44" s="220">
        <f t="shared" si="5"/>
        <v>0</v>
      </c>
      <c r="H44" s="219">
        <f>IF(('ErP Inputs'!$H$18)=(TRUE),IF(AND($C$20&lt;$C$17,$C$20&gt;C$16),IF($C$20=C44,$H$20,IF($C$20&gt;C44,(($H$20-$H$16)/($C$20-$C$16)*(C44-$C$20)+$H$20),(($H$17-$H$20)/($C$17-$C$20)*(C44-$C$17)+$H$17))),(($H$17-$H$16)/($C$17-$C$16)*(C44-$C$16)+$H$16)),(($H$17-$H$16)/($C$17-$C$16)*(C44-$C$16)+$H$16))</f>
        <v>0</v>
      </c>
      <c r="I44" s="219">
        <f>IF(F44&lt;(($H$17-$H$16)/($C$17-$C$16)*(C44-$C$16)+$H$16),F44,(($H$17-$H$16)/($C$17-$C$16)*(C44-$C$16)+$H$16))</f>
        <v>0</v>
      </c>
      <c r="J44" s="221">
        <f t="shared" si="8"/>
        <v>0</v>
      </c>
      <c r="K44" s="220">
        <f t="shared" si="9"/>
        <v>0</v>
      </c>
      <c r="L44" s="221" t="e">
        <f>IF(('ErP Inputs'!$H$18)=(TRUE),IF(AND($C$20&lt;$C$17,$C$20&gt;C$16),IF($C$20=C44,COPPL_Tbiv,IF($C$20&gt;C44,((COPPL_Tbiv-COPPL_b)/($C$20-$C$16)*(C44-$C$20)+COPPL_Tbiv),((COPPL_c-COPPL_Tbiv)/($C$17-$C$20)*(C44-$C$17)+COPPL_c))),((COPPL_c-COPPL_b)/($C$17-$C$16)*(C44-$C$16)+COPPL_b)),((COPPL_c-COPPL_b)/($C$17-$C$16)*(C44-$C$16)+COPPL_b))</f>
        <v>#DIV/0!</v>
      </c>
      <c r="M44" s="220" t="e">
        <f t="shared" si="12"/>
        <v>#DIV/0!</v>
      </c>
      <c r="N44" s="210"/>
      <c r="O44" s="220">
        <f t="shared" si="6"/>
        <v>0</v>
      </c>
      <c r="P44" s="220" t="e">
        <f t="shared" si="13"/>
        <v>#DIV/0!</v>
      </c>
      <c r="Q44" s="239" t="b">
        <f t="shared" si="14"/>
        <v>0</v>
      </c>
      <c r="R44" s="240" t="str">
        <f t="shared" si="11"/>
        <v>N/A</v>
      </c>
      <c r="S44" s="222"/>
    </row>
    <row r="45" spans="2:19" x14ac:dyDescent="0.25">
      <c r="B45" s="36">
        <v>37</v>
      </c>
      <c r="C45" s="36">
        <v>6</v>
      </c>
      <c r="D45" s="36">
        <f>HLOOKUP($C$3,'Table 37'!$B$3:$F$51,40,FALSE)</f>
        <v>330</v>
      </c>
      <c r="E45" s="219">
        <f t="shared" si="4"/>
        <v>0.38461538461538464</v>
      </c>
      <c r="F45" s="219">
        <f t="shared" si="7"/>
        <v>0</v>
      </c>
      <c r="G45" s="220">
        <f t="shared" si="5"/>
        <v>0</v>
      </c>
      <c r="H45" s="219">
        <f>IF(('ErP Inputs'!$H$18)=(TRUE),IF(AND($C$20&lt;$C$17,$C$20&gt;C$16),IF($C$20=C45,$H$20,IF($C$20&gt;C45,(($H$20-$H$16)/($C$20-$C$16)*(C45-$C$20)+$H$20),(($H$17-$H$20)/($C$17-$C$20)*(C45-$C$17)+$H$17))),(($H$17-$H$16)/($C$17-$C$16)*(C45-$C$16)+$H$16)),(($H$17-$H$16)/($C$17-$C$16)*(C45-$C$16)+$H$16))</f>
        <v>0</v>
      </c>
      <c r="I45" s="219">
        <f>IF(F45&lt;(($H$17-$H$16)/($C$17-$C$16)*(C45-$C$16)+$H$16),F45,(($H$17-$H$16)/($C$17-$C$16)*(C45-$C$16)+$H$16))</f>
        <v>0</v>
      </c>
      <c r="J45" s="221">
        <f t="shared" si="8"/>
        <v>0</v>
      </c>
      <c r="K45" s="220">
        <f t="shared" si="9"/>
        <v>0</v>
      </c>
      <c r="L45" s="221" t="e">
        <f>IF(('ErP Inputs'!$H$18)=(TRUE),IF(AND($C$20&lt;$C$17,$C$20&gt;C$16),IF($C$20=C45,COPPL_Tbiv,IF($C$20&gt;C45,((COPPL_Tbiv-COPPL_b)/($C$20-$C$16)*(C45-$C$20)+COPPL_Tbiv),((COPPL_c-COPPL_Tbiv)/($C$17-$C$20)*(C45-$C$17)+COPPL_c))),((COPPL_c-COPPL_b)/($C$17-$C$16)*(C45-$C$16)+COPPL_b)),((COPPL_c-COPPL_b)/($C$17-$C$16)*(C45-$C$16)+COPPL_b))</f>
        <v>#DIV/0!</v>
      </c>
      <c r="M45" s="220" t="e">
        <f t="shared" si="12"/>
        <v>#DIV/0!</v>
      </c>
      <c r="N45" s="210"/>
      <c r="O45" s="220">
        <f t="shared" si="6"/>
        <v>0</v>
      </c>
      <c r="P45" s="220" t="e">
        <f t="shared" si="13"/>
        <v>#DIV/0!</v>
      </c>
      <c r="Q45" s="239" t="b">
        <f t="shared" si="14"/>
        <v>0</v>
      </c>
      <c r="R45" s="240" t="str">
        <f t="shared" si="11"/>
        <v>N/A</v>
      </c>
      <c r="S45" s="222"/>
    </row>
    <row r="46" spans="2:19" x14ac:dyDescent="0.25">
      <c r="B46" s="36">
        <v>38</v>
      </c>
      <c r="C46" s="36">
        <v>7</v>
      </c>
      <c r="D46" s="36">
        <f>HLOOKUP($C$3,'Table 37'!$B$3:$F$51,41,FALSE)</f>
        <v>326</v>
      </c>
      <c r="E46" s="219">
        <f t="shared" si="4"/>
        <v>0.34615384615384615</v>
      </c>
      <c r="F46" s="219">
        <f t="shared" si="7"/>
        <v>0</v>
      </c>
      <c r="G46" s="220">
        <f t="shared" si="5"/>
        <v>0</v>
      </c>
      <c r="H46" s="157">
        <f>H17</f>
        <v>0</v>
      </c>
      <c r="I46" s="157">
        <f>IF(F46&lt;H17,F46,H17)</f>
        <v>0</v>
      </c>
      <c r="J46" s="221">
        <f t="shared" si="8"/>
        <v>0</v>
      </c>
      <c r="K46" s="220">
        <f t="shared" si="9"/>
        <v>0</v>
      </c>
      <c r="L46" s="244" t="e">
        <f>COPPL_c</f>
        <v>#DIV/0!</v>
      </c>
      <c r="M46" s="220" t="e">
        <f t="shared" si="12"/>
        <v>#DIV/0!</v>
      </c>
      <c r="N46" s="210"/>
      <c r="O46" s="220">
        <f t="shared" si="6"/>
        <v>0</v>
      </c>
      <c r="P46" s="220" t="e">
        <f t="shared" si="13"/>
        <v>#DIV/0!</v>
      </c>
      <c r="Q46" s="239" t="b">
        <f t="shared" si="14"/>
        <v>0</v>
      </c>
      <c r="R46" s="240" t="str">
        <f t="shared" si="11"/>
        <v>N/A</v>
      </c>
      <c r="S46" s="222"/>
    </row>
    <row r="47" spans="2:19" x14ac:dyDescent="0.25">
      <c r="B47" s="36">
        <v>39</v>
      </c>
      <c r="C47" s="36">
        <v>8</v>
      </c>
      <c r="D47" s="36">
        <f>HLOOKUP($C$3,'Table 37'!$B$3:$F$51,42,FALSE)</f>
        <v>348</v>
      </c>
      <c r="E47" s="219">
        <f t="shared" si="4"/>
        <v>0.30769230769230771</v>
      </c>
      <c r="F47" s="219">
        <f t="shared" si="7"/>
        <v>0</v>
      </c>
      <c r="G47" s="220">
        <f t="shared" si="5"/>
        <v>0</v>
      </c>
      <c r="H47" s="219">
        <f>IF(('ErP Inputs'!$H$18)=(TRUE),IF(AND($C$20&lt;$C$18,$C$20&gt;C$17),IF($C$20=C47,$H$20,IF($C$20&gt;C47,(($H$20-$H$17)/($C$20-$C$17)*(C47-$C$20)+$H$20),(($H$18-$H$20)/($C$18-$C$20)*(C47-$C$18)+$H$18))),(($H$18-$H$17)/($C$18-$C$17)*(C47-$C$17)+$H$17)),(($H$18-$H$17)/($C$18-$C$17)*(C47-$C$17)+$H$17))</f>
        <v>0</v>
      </c>
      <c r="I47" s="219">
        <f>IF(F47&lt;(($H$18-$H$17)/($C$18-$C$17)*(C47-$C$17)+$H$17),F47,((($H$18-$H$17)/($C$18-$C$17)*(C47-$C$17)+$H$17)))</f>
        <v>0</v>
      </c>
      <c r="J47" s="221">
        <f t="shared" si="8"/>
        <v>0</v>
      </c>
      <c r="K47" s="220">
        <f t="shared" si="9"/>
        <v>0</v>
      </c>
      <c r="L47" s="221" t="e">
        <f>IF(('ErP Inputs'!$H$18)=(TRUE),IF(AND($C$20&lt;$C$18,$C$20&gt;C$17),IF($C$20=C47,COPPL_Tbiv,IF($C$20&gt;C47,((COPPL_Tbiv-COPPL_c)/($C$20-$C$17)*(C47-$C$20)+COPPL_Tbiv),((COPPL_d-COPPL_Tbiv)/($C$18-$C$20)*(C47-$C$18)+COPPL_d))),((COPPL_d-COPPL_c)/($C$18-$C$17)*(C47-$C$17)+COPPL_c)),((COPPL_d-COPPL_c)/($C$18-$C$17)*(C47-$C$17)+COPPL_c))</f>
        <v>#DIV/0!</v>
      </c>
      <c r="M47" s="220" t="e">
        <f t="shared" si="12"/>
        <v>#DIV/0!</v>
      </c>
      <c r="N47" s="210"/>
      <c r="O47" s="220">
        <f t="shared" si="6"/>
        <v>0</v>
      </c>
      <c r="P47" s="220" t="e">
        <f t="shared" si="13"/>
        <v>#DIV/0!</v>
      </c>
      <c r="Q47" s="239" t="b">
        <f t="shared" si="14"/>
        <v>0</v>
      </c>
      <c r="R47" s="240" t="str">
        <f t="shared" si="11"/>
        <v>N/A</v>
      </c>
      <c r="S47" s="222"/>
    </row>
    <row r="48" spans="2:19" x14ac:dyDescent="0.25">
      <c r="B48" s="36">
        <v>40</v>
      </c>
      <c r="C48" s="36">
        <v>9</v>
      </c>
      <c r="D48" s="36">
        <f>HLOOKUP($C$3,'Table 37'!$B$3:$F$51,43,FALSE)</f>
        <v>335</v>
      </c>
      <c r="E48" s="219">
        <f t="shared" si="4"/>
        <v>0.26923076923076922</v>
      </c>
      <c r="F48" s="219">
        <f t="shared" si="7"/>
        <v>0</v>
      </c>
      <c r="G48" s="220">
        <f t="shared" si="5"/>
        <v>0</v>
      </c>
      <c r="H48" s="219">
        <f>IF(('ErP Inputs'!$H$18)=(TRUE),IF(AND($C$20&lt;$C$18,$C$20&gt;C$17),IF($C$20=C48,$H$20,IF($C$20&gt;C48,(($H$20-$H$17)/($C$20-$C$17)*(C48-$C$20)+$H$20),(($H$18-$H$20)/($C$18-$C$20)*(C48-$C$18)+$H$18))),(($H$18-$H$17)/($C$18-$C$17)*(C48-$C$17)+$H$17)),(($H$18-$H$17)/($C$18-$C$17)*(C48-$C$17)+$H$17))</f>
        <v>0</v>
      </c>
      <c r="I48" s="219">
        <f>IF(F48&lt;(($H$18-$H$17)/($C$18-$C$17)*(C48-$C$17)+$H$17),F48,((($H$18-$H$17)/($C$18-$C$17)*(C48-$C$17)+$H$17)))</f>
        <v>0</v>
      </c>
      <c r="J48" s="221">
        <f t="shared" si="8"/>
        <v>0</v>
      </c>
      <c r="K48" s="220">
        <f t="shared" si="9"/>
        <v>0</v>
      </c>
      <c r="L48" s="221" t="e">
        <f>IF(('ErP Inputs'!$H$18)=(TRUE),IF(AND($C$20&lt;$C$18,$C$20&gt;C$17),IF($C$20=C48,COPPL_Tbiv,IF($C$20&gt;C48,((COPPL_Tbiv-COPPL_c)/($C$20-$C$17)*(C48-$C$20)+COPPL_Tbiv),((COPPL_d-COPPL_Tbiv)/($C$18-$C$20)*(C48-$C$18)+COPPL_d))),((COPPL_d-COPPL_c)/($C$18-$C$17)*(C48-$C$17)+COPPL_c)),((COPPL_d-COPPL_c)/($C$18-$C$17)*(C48-$C$17)+COPPL_c))</f>
        <v>#DIV/0!</v>
      </c>
      <c r="M48" s="220" t="e">
        <f t="shared" si="12"/>
        <v>#DIV/0!</v>
      </c>
      <c r="N48" s="210"/>
      <c r="O48" s="220">
        <f t="shared" si="6"/>
        <v>0</v>
      </c>
      <c r="P48" s="220" t="e">
        <f t="shared" si="13"/>
        <v>#DIV/0!</v>
      </c>
      <c r="Q48" s="239" t="b">
        <f t="shared" si="14"/>
        <v>0</v>
      </c>
      <c r="R48" s="240" t="str">
        <f t="shared" si="11"/>
        <v>N/A</v>
      </c>
      <c r="S48" s="222"/>
    </row>
    <row r="49" spans="2:23" x14ac:dyDescent="0.25">
      <c r="B49" s="36">
        <v>41</v>
      </c>
      <c r="C49" s="36">
        <v>10</v>
      </c>
      <c r="D49" s="36">
        <f>HLOOKUP($C$3,'Table 37'!$B$3:$F$51,44,FALSE)</f>
        <v>315</v>
      </c>
      <c r="E49" s="219">
        <f t="shared" si="4"/>
        <v>0.23076923076923078</v>
      </c>
      <c r="F49" s="219">
        <f t="shared" si="7"/>
        <v>0</v>
      </c>
      <c r="G49" s="220">
        <f t="shared" si="5"/>
        <v>0</v>
      </c>
      <c r="H49" s="219">
        <f>IF(('ErP Inputs'!$H$18)=(TRUE),IF(AND($C$20&lt;$C$18,$C$20&gt;C$17),IF($C$20=C49,$H$20,IF($C$20&gt;C49,(($H$20-$H$17)/($C$20-$C$17)*(C49-$C$20)+$H$20),(($H$18-$H$20)/($C$18-$C$20)*(C49-$C$18)+$H$18))),(($H$18-$H$17)/($C$18-$C$17)*(C49-$C$17)+$H$17)),(($H$18-$H$17)/($C$18-$C$17)*(C49-$C$17)+$H$17))</f>
        <v>0</v>
      </c>
      <c r="I49" s="219">
        <f>IF(F49&lt;(($H$18-$H$17)/($C$18-$C$17)*(C49-$C$17)+$H$17),F49,((($H$18-$H$17)/($C$18-$C$17)*(C49-$C$17)+$H$17)))</f>
        <v>0</v>
      </c>
      <c r="J49" s="221">
        <f t="shared" si="8"/>
        <v>0</v>
      </c>
      <c r="K49" s="220">
        <f t="shared" si="9"/>
        <v>0</v>
      </c>
      <c r="L49" s="221" t="e">
        <f>IF(('ErP Inputs'!$H$18)=(TRUE),IF(AND($C$20&lt;$C$18,$C$20&gt;C$17),IF($C$20=C49,COPPL_Tbiv,IF($C$20&gt;C49,((COPPL_Tbiv-COPPL_c)/($C$20-$C$17)*(C49-$C$20)+COPPL_Tbiv),((COPPL_d-COPPL_Tbiv)/($C$18-$C$20)*(C49-$C$18)+COPPL_d))),((COPPL_d-COPPL_c)/($C$18-$C$17)*(C49-$C$17)+COPPL_c)),((COPPL_d-COPPL_c)/($C$18-$C$17)*(C49-$C$17)+COPPL_c))</f>
        <v>#DIV/0!</v>
      </c>
      <c r="M49" s="220" t="e">
        <f t="shared" si="12"/>
        <v>#DIV/0!</v>
      </c>
      <c r="N49" s="210"/>
      <c r="O49" s="220">
        <f t="shared" si="6"/>
        <v>0</v>
      </c>
      <c r="P49" s="220" t="e">
        <f t="shared" si="13"/>
        <v>#DIV/0!</v>
      </c>
      <c r="Q49" s="239" t="b">
        <f t="shared" si="14"/>
        <v>0</v>
      </c>
      <c r="R49" s="240" t="str">
        <f t="shared" si="11"/>
        <v>N/A</v>
      </c>
      <c r="S49" s="222"/>
    </row>
    <row r="50" spans="2:23" x14ac:dyDescent="0.25">
      <c r="B50" s="36">
        <v>42</v>
      </c>
      <c r="C50" s="36">
        <v>11</v>
      </c>
      <c r="D50" s="36">
        <f>HLOOKUP($C$3,'Table 37'!$B$3:$F$51,45,FALSE)</f>
        <v>215</v>
      </c>
      <c r="E50" s="219">
        <f t="shared" si="4"/>
        <v>0.19230769230769232</v>
      </c>
      <c r="F50" s="219">
        <f t="shared" si="7"/>
        <v>0</v>
      </c>
      <c r="G50" s="220">
        <f t="shared" si="5"/>
        <v>0</v>
      </c>
      <c r="H50" s="219">
        <f>IF(('ErP Inputs'!$H$18)=(TRUE),IF(AND($C$20&lt;$C$18,$C$20&gt;C$17),IF($C$20=C50,$H$20,IF($C$20&gt;C50,(($H$20-$H$17)/($C$20-$C$17)*(C50-$C$20)+$H$20),(($H$18-$H$20)/($C$18-$C$20)*(C50-$C$18)+$H$18))),(($H$18-$H$17)/($C$18-$C$17)*(C50-$C$17)+$H$17)),(($H$18-$H$17)/($C$18-$C$17)*(C50-$C$17)+$H$17))</f>
        <v>0</v>
      </c>
      <c r="I50" s="219">
        <f>IF(F50&lt;(($H$18-$H$17)/($C$18-$C$17)*(C50-$C$17)+$H$17),F50,((($H$18-$H$17)/($C$18-$C$17)*(C50-$C$17)+$H$17)))</f>
        <v>0</v>
      </c>
      <c r="J50" s="221">
        <f t="shared" si="8"/>
        <v>0</v>
      </c>
      <c r="K50" s="220">
        <f t="shared" si="9"/>
        <v>0</v>
      </c>
      <c r="L50" s="221" t="e">
        <f>IF(('ErP Inputs'!$H$18)=(TRUE),IF(AND($C$20&lt;$C$18,$C$20&gt;C$17),IF($C$20=C50,COPPL_Tbiv,IF($C$20&gt;C50,((COPPL_Tbiv-COPPL_c)/($C$20-$C$17)*(C50-$C$20)+COPPL_Tbiv),((COPPL_d-COPPL_Tbiv)/($C$18-$C$20)*(C50-$C$18)+COPPL_d))),((COPPL_d-COPPL_c)/($C$18-$C$17)*(C50-$C$17)+COPPL_c)),((COPPL_d-COPPL_c)/($C$18-$C$17)*(C50-$C$17)+COPPL_c))</f>
        <v>#DIV/0!</v>
      </c>
      <c r="M50" s="220" t="e">
        <f t="shared" si="12"/>
        <v>#DIV/0!</v>
      </c>
      <c r="N50" s="210"/>
      <c r="O50" s="220">
        <f t="shared" si="6"/>
        <v>0</v>
      </c>
      <c r="P50" s="220" t="e">
        <f t="shared" si="13"/>
        <v>#DIV/0!</v>
      </c>
      <c r="Q50" s="239" t="b">
        <f t="shared" si="14"/>
        <v>0</v>
      </c>
      <c r="R50" s="240" t="str">
        <f t="shared" si="11"/>
        <v>N/A</v>
      </c>
      <c r="S50" s="222"/>
    </row>
    <row r="51" spans="2:23" x14ac:dyDescent="0.25">
      <c r="B51" s="36">
        <v>43</v>
      </c>
      <c r="C51" s="36">
        <v>12</v>
      </c>
      <c r="D51" s="36">
        <f>HLOOKUP($C$3,'Table 37'!$B$3:$F$51,46,FALSE)</f>
        <v>169</v>
      </c>
      <c r="E51" s="219">
        <f t="shared" si="4"/>
        <v>0.15384615384615385</v>
      </c>
      <c r="F51" s="219">
        <f t="shared" si="7"/>
        <v>0</v>
      </c>
      <c r="G51" s="220">
        <f t="shared" si="5"/>
        <v>0</v>
      </c>
      <c r="H51" s="157">
        <f>H18</f>
        <v>0</v>
      </c>
      <c r="I51" s="157">
        <f>IF(F51&lt;H18,F51,H18)</f>
        <v>0</v>
      </c>
      <c r="J51" s="221">
        <f t="shared" si="8"/>
        <v>0</v>
      </c>
      <c r="K51" s="220">
        <f t="shared" si="9"/>
        <v>0</v>
      </c>
      <c r="L51" s="244" t="e">
        <f>COPPL_d</f>
        <v>#DIV/0!</v>
      </c>
      <c r="M51" s="220" t="e">
        <f t="shared" si="12"/>
        <v>#DIV/0!</v>
      </c>
      <c r="N51" s="210"/>
      <c r="O51" s="220">
        <f t="shared" si="6"/>
        <v>0</v>
      </c>
      <c r="P51" s="220" t="e">
        <f t="shared" si="13"/>
        <v>#DIV/0!</v>
      </c>
      <c r="Q51" s="239" t="b">
        <f t="shared" si="14"/>
        <v>0</v>
      </c>
      <c r="R51" s="240" t="str">
        <f t="shared" si="11"/>
        <v>N/A</v>
      </c>
      <c r="S51" s="222"/>
    </row>
    <row r="52" spans="2:23" x14ac:dyDescent="0.25">
      <c r="B52" s="36">
        <v>44</v>
      </c>
      <c r="C52" s="36">
        <v>13</v>
      </c>
      <c r="D52" s="36">
        <f>HLOOKUP($C$3,'Table 37'!$B$3:$F$51,47,FALSE)</f>
        <v>151</v>
      </c>
      <c r="E52" s="219">
        <f t="shared" si="4"/>
        <v>0.11538461538461539</v>
      </c>
      <c r="F52" s="219">
        <f t="shared" si="7"/>
        <v>0</v>
      </c>
      <c r="G52" s="220">
        <f t="shared" si="5"/>
        <v>0</v>
      </c>
      <c r="H52" s="219">
        <f>IF(('ErP Inputs'!$H$18)=(TRUE),IF(AND($C$20=$C$54,$C$20&gt;C$18),IF($C$20=C52,$H$20,IF($C$20&gt;C52,(($H$20-$H$18)/($C$20-$C$18)*(C52-$C$20)+$H$20),(($H$54-$H$20)/($C$54-$C$20)*(C52-$C$54)+$H$54))),(($H$18-$H$17)/($C$18-$C$17)*(C52-$C$17)+$H$17)),(($H$18-$H$17)/($C$18-$C$17)*(C52-$C$17)+$H$17))</f>
        <v>0</v>
      </c>
      <c r="I52" s="219">
        <f>IF(F52&lt;(($H$18-$H$17)/($C$18-$C$17)*(C52-$C$17)+$H$17),F52,((($H$18-$H$17)/($C$18-$C$17)*(C52-$C$17)+$H$17)))</f>
        <v>0</v>
      </c>
      <c r="J52" s="221">
        <f t="shared" si="8"/>
        <v>0</v>
      </c>
      <c r="K52" s="220">
        <f t="shared" si="9"/>
        <v>0</v>
      </c>
      <c r="L52" s="221" t="e">
        <f>IF(('ErP Inputs'!$H$18)=(TRUE),IF(AND($C$20=$C$54,$C$20&gt;C$18),IF($C$20=C52,COPPL_Tbiv,IF($C$20&gt;C52,((COPPL_Tbiv-COPPL_d)/($C$20-$C$18)*(C52-$C$20)+COPPL_Tbiv),(($L$54-COPPL_Tbiv)/($C$54-$C$20)*(C52-$C$54)+$L$54))),((COPPL_d-COPPL_c)/($C$18-$C$17)*(C52-$C$17)+COPPL_c)),((COPPL_d-COPPL_c)/($C$18-$C$17)*(C52-$C$17)+COPPL_c))</f>
        <v>#DIV/0!</v>
      </c>
      <c r="M52" s="220" t="e">
        <f t="shared" si="12"/>
        <v>#DIV/0!</v>
      </c>
      <c r="N52" s="210"/>
      <c r="O52" s="220">
        <f t="shared" si="6"/>
        <v>0</v>
      </c>
      <c r="P52" s="220" t="e">
        <f t="shared" si="13"/>
        <v>#DIV/0!</v>
      </c>
      <c r="Q52" s="239" t="b">
        <f t="shared" si="14"/>
        <v>0</v>
      </c>
      <c r="R52" s="240" t="str">
        <f t="shared" si="11"/>
        <v>N/A</v>
      </c>
      <c r="S52" s="222"/>
    </row>
    <row r="53" spans="2:23" x14ac:dyDescent="0.25">
      <c r="B53" s="36">
        <v>45</v>
      </c>
      <c r="C53" s="36">
        <v>14</v>
      </c>
      <c r="D53" s="36">
        <f>HLOOKUP($C$3,'Table 37'!$B$3:$F$51,48,FALSE)</f>
        <v>105</v>
      </c>
      <c r="E53" s="219">
        <f t="shared" si="4"/>
        <v>7.6923076923076927E-2</v>
      </c>
      <c r="F53" s="219">
        <f t="shared" si="7"/>
        <v>0</v>
      </c>
      <c r="G53" s="220">
        <f t="shared" si="5"/>
        <v>0</v>
      </c>
      <c r="H53" s="219">
        <f>IF(('ErP Inputs'!$H$18)=(TRUE),IF(AND($C$20=$C$54,$C$20&gt;C$18),IF($C$20=C53,$H$20,IF($C$20&gt;C53,(($H$20-$H$18)/($C$20-$C$18)*(C53-$C$20)+$H$20),(($H$54-$H$20)/($C$54-$C$20)*(C53-$C$54)+$H$54))),(($H$18-$H$17)/($C$18-$C$17)*(C53-$C$17)+$H$17)),(($H$18-$H$17)/($C$18-$C$17)*(C53-$C$17)+$H$17))</f>
        <v>0</v>
      </c>
      <c r="I53" s="219">
        <f>IF(F53&lt;(($H$18-$H$17)/($C$18-$C$17)*(C53-$C$17)+$H$17),F53,((($H$18-$H$17)/($C$18-$C$17)*(C53-$C$17)+$H$17)))</f>
        <v>0</v>
      </c>
      <c r="J53" s="221">
        <f t="shared" si="8"/>
        <v>0</v>
      </c>
      <c r="K53" s="220">
        <f t="shared" si="9"/>
        <v>0</v>
      </c>
      <c r="L53" s="221" t="e">
        <f>IF(('ErP Inputs'!$H$18)=(TRUE),IF(AND($C$20=$C$54,$C$20&gt;C$18),IF($C$20=C53,COPPL_Tbiv,IF($C$20&gt;C53,((COPPL_Tbiv-COPPL_d)/($C$20-$C$18)*(C53-$C$20)+COPPL_Tbiv),(($L$54-COPPL_Tbiv)/($C$54-$C$20)*(C53-$C$54)+$L$54))),((COPPL_d-COPPL_c)/($C$18-$C$17)*(C53-$C$17)+COPPL_c)),((COPPL_d-COPPL_c)/($C$18-$C$17)*(C53-$C$17)+COPPL_c))</f>
        <v>#DIV/0!</v>
      </c>
      <c r="M53" s="220" t="e">
        <f t="shared" si="12"/>
        <v>#DIV/0!</v>
      </c>
      <c r="N53" s="210"/>
      <c r="O53" s="220">
        <f t="shared" si="6"/>
        <v>0</v>
      </c>
      <c r="P53" s="220" t="e">
        <f t="shared" si="13"/>
        <v>#DIV/0!</v>
      </c>
      <c r="Q53" s="239" t="b">
        <f t="shared" si="14"/>
        <v>0</v>
      </c>
      <c r="R53" s="240" t="str">
        <f t="shared" si="11"/>
        <v>N/A</v>
      </c>
      <c r="S53" s="222"/>
    </row>
    <row r="54" spans="2:23" x14ac:dyDescent="0.25">
      <c r="B54" s="36">
        <v>46</v>
      </c>
      <c r="C54" s="36">
        <v>15</v>
      </c>
      <c r="D54" s="36">
        <f>HLOOKUP($C$3,'Table 37'!$B$3:$F$51,49,FALSE)</f>
        <v>74</v>
      </c>
      <c r="E54" s="219">
        <f t="shared" si="4"/>
        <v>3.8461538461538464E-2</v>
      </c>
      <c r="F54" s="219">
        <f t="shared" si="7"/>
        <v>0</v>
      </c>
      <c r="G54" s="220">
        <f t="shared" si="5"/>
        <v>0</v>
      </c>
      <c r="H54" s="219">
        <f>IF(('ErP Inputs'!$H$18)=(TRUE),IF(AND($C$20=$C$54,$C$20&gt;C$18),IF($C$20=C54,$H$20,IF($C$20&gt;C54,(($H$20-$H$18)/($C$20-$C$18)*(C54-$C$20)+$H$20),(($H$54-$H$20)/($C$54-$C$20)*(C54-$C$54)+$H$54))),(($H$18-$H$17)/($C$18-$C$17)*(C54-$C$17)+$H$17)),(($H$18-$H$17)/($C$18-$C$17)*(C54-$C$17)+$H$17))</f>
        <v>0</v>
      </c>
      <c r="I54" s="219">
        <f>IF(F54&lt;(($H$18-$H$17)/($C$18-$C$17)*(C54-$C$17)+$H$17),F54,((($H$18-$H$17)/($C$18-$C$17)*(C54-$C$17)+$H$17)))</f>
        <v>0</v>
      </c>
      <c r="J54" s="221">
        <f t="shared" si="8"/>
        <v>0</v>
      </c>
      <c r="K54" s="220">
        <f t="shared" si="9"/>
        <v>0</v>
      </c>
      <c r="L54" s="221" t="e">
        <f>((COPPL_d-COPPL_c)/($C$18-$C$17)*(C54-$C$17)+COPPL_c)</f>
        <v>#DIV/0!</v>
      </c>
      <c r="M54" s="220" t="e">
        <f t="shared" si="12"/>
        <v>#DIV/0!</v>
      </c>
      <c r="N54" s="210"/>
      <c r="O54" s="220">
        <f t="shared" si="6"/>
        <v>0</v>
      </c>
      <c r="P54" s="220" t="e">
        <f t="shared" si="13"/>
        <v>#DIV/0!</v>
      </c>
      <c r="Q54" s="239" t="b">
        <f t="shared" si="14"/>
        <v>0</v>
      </c>
      <c r="R54" s="240" t="str">
        <f t="shared" si="11"/>
        <v>N/A</v>
      </c>
      <c r="S54" s="222"/>
    </row>
    <row r="55" spans="2:23" ht="13.5" thickBot="1" x14ac:dyDescent="0.3">
      <c r="D55" s="243">
        <f>SUM(D29:D54)</f>
        <v>4910</v>
      </c>
      <c r="G55" s="241">
        <f>SUM(G29:G54)</f>
        <v>0</v>
      </c>
      <c r="K55" s="241" t="e">
        <f>SUM(K29:K54)</f>
        <v>#DIV/0!</v>
      </c>
      <c r="M55" s="242" t="e">
        <f>SUM(M29:M54)</f>
        <v>#DIV/0!</v>
      </c>
      <c r="O55" s="242" t="e">
        <f>SUM(O29:O54)</f>
        <v>#VALUE!</v>
      </c>
      <c r="P55" s="242" t="e">
        <f>SUM(P29:P54)</f>
        <v>#DIV/0!</v>
      </c>
    </row>
    <row r="56" spans="2:23" ht="15" thickBot="1" x14ac:dyDescent="0.3">
      <c r="L56" s="234" t="s">
        <v>194</v>
      </c>
      <c r="M56" s="232" t="e">
        <f>G55/M55</f>
        <v>#DIV/0!</v>
      </c>
      <c r="O56" s="234" t="s">
        <v>195</v>
      </c>
      <c r="P56" s="231" t="e">
        <f>O55/P55</f>
        <v>#VALUE!</v>
      </c>
    </row>
    <row r="58" spans="2:23" x14ac:dyDescent="0.25">
      <c r="T58" s="158"/>
      <c r="U58" s="158"/>
      <c r="V58" s="158"/>
      <c r="W58" s="158"/>
    </row>
  </sheetData>
  <dataConsolidate/>
  <mergeCells count="7">
    <mergeCell ref="B2:D2"/>
    <mergeCell ref="C10:D10"/>
    <mergeCell ref="B13:E13"/>
    <mergeCell ref="H27:I27"/>
    <mergeCell ref="B21:M21"/>
    <mergeCell ref="B22:M22"/>
    <mergeCell ref="B23:M23"/>
  </mergeCells>
  <conditionalFormatting sqref="O15">
    <cfRule type="colorScale" priority="27">
      <colorScale>
        <cfvo type="min"/>
        <cfvo type="percentile" val="50"/>
        <cfvo type="max"/>
        <color rgb="FFF8696B"/>
        <color rgb="FFFFEB84"/>
        <color rgb="FF63BE7B"/>
      </colorScale>
    </cfRule>
  </conditionalFormatting>
  <conditionalFormatting sqref="O15:P15">
    <cfRule type="colorScale" priority="28">
      <colorScale>
        <cfvo type="num" val="30"/>
        <cfvo type="num" val="80"/>
        <cfvo type="num" val="150"/>
        <color rgb="FFF8696B"/>
        <color rgb="FFFFEB84"/>
        <color rgb="FF63BE7B"/>
      </colorScale>
    </cfRule>
  </conditionalFormatting>
  <conditionalFormatting sqref="P17">
    <cfRule type="colorScale" priority="29">
      <colorScale>
        <cfvo type="num" val="30"/>
        <cfvo type="percentile" val="60"/>
        <cfvo type="num" val="150"/>
        <color rgb="FFF8696B"/>
        <color rgb="FFFFEB84"/>
        <color rgb="FF63BE7B"/>
      </colorScale>
    </cfRule>
  </conditionalFormatting>
  <dataValidations disablePrompts="1" count="1">
    <dataValidation type="list" allowBlank="1" showInputMessage="1" showErrorMessage="1" sqref="C11" xr:uid="{00000000-0002-0000-0300-000000000000}">
      <formula1>$G$8:$G$10</formula1>
    </dataValidation>
  </dataValidations>
  <printOptions headings="1"/>
  <pageMargins left="0.25" right="0.25" top="0.75" bottom="0.75" header="0.3" footer="0.3"/>
  <pageSetup paperSize="9" scale="29" orientation="landscape" r:id="rId1"/>
  <ignoredErrors>
    <ignoredError sqref="I51 L51" formula="1"/>
  </ignoredError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2:W58"/>
  <sheetViews>
    <sheetView topLeftCell="B1" zoomScaleNormal="90" workbookViewId="0">
      <selection activeCell="I12" sqref="I12"/>
    </sheetView>
  </sheetViews>
  <sheetFormatPr defaultColWidth="9.140625" defaultRowHeight="12.75" x14ac:dyDescent="0.25"/>
  <cols>
    <col min="1" max="1" width="2.7109375" style="158" customWidth="1"/>
    <col min="2" max="2" width="25.5703125" style="158" bestFit="1" customWidth="1"/>
    <col min="3" max="3" width="14.7109375" style="158" bestFit="1" customWidth="1"/>
    <col min="4" max="4" width="13.140625" style="158" bestFit="1" customWidth="1"/>
    <col min="5" max="5" width="14" style="158" bestFit="1" customWidth="1"/>
    <col min="6" max="6" width="9" style="158" bestFit="1" customWidth="1"/>
    <col min="7" max="7" width="13.7109375" style="158" bestFit="1" customWidth="1"/>
    <col min="8" max="8" width="19" style="158" bestFit="1" customWidth="1"/>
    <col min="9" max="9" width="22.85546875" style="158" customWidth="1"/>
    <col min="10" max="10" width="21.85546875" style="158" bestFit="1" customWidth="1"/>
    <col min="11" max="11" width="18" style="158" bestFit="1" customWidth="1"/>
    <col min="12" max="12" width="16.85546875" style="158" bestFit="1" customWidth="1"/>
    <col min="13" max="13" width="34.28515625" style="158" bestFit="1" customWidth="1"/>
    <col min="14" max="14" width="4" style="158" customWidth="1"/>
    <col min="15" max="15" width="45.5703125" style="158" bestFit="1" customWidth="1"/>
    <col min="16" max="16" width="25.140625" style="158" bestFit="1" customWidth="1"/>
    <col min="17" max="18" width="7.7109375" style="207" customWidth="1"/>
    <col min="19" max="19" width="24.42578125" style="158" customWidth="1"/>
    <col min="20" max="20" width="24.140625" style="207" customWidth="1"/>
    <col min="21" max="21" width="25.42578125" style="207" bestFit="1" customWidth="1"/>
    <col min="22" max="23" width="24.140625" style="207" customWidth="1"/>
    <col min="24" max="24" width="8.42578125" style="158" customWidth="1"/>
    <col min="25" max="16384" width="9.140625" style="158"/>
  </cols>
  <sheetData>
    <row r="2" spans="1:23" x14ac:dyDescent="0.25">
      <c r="B2" s="107" t="s">
        <v>75</v>
      </c>
      <c r="C2" s="107"/>
      <c r="D2" s="107"/>
      <c r="I2" s="77" t="s">
        <v>203</v>
      </c>
    </row>
    <row r="3" spans="1:23" ht="15.75" x14ac:dyDescent="0.25">
      <c r="A3" s="208"/>
      <c r="B3" s="43" t="s">
        <v>23</v>
      </c>
      <c r="C3" s="36" t="s">
        <v>9</v>
      </c>
      <c r="D3" s="204"/>
      <c r="I3" s="77" t="s">
        <v>98</v>
      </c>
      <c r="J3" s="207"/>
      <c r="K3" s="207"/>
      <c r="L3" s="207"/>
      <c r="O3" s="43" t="s">
        <v>173</v>
      </c>
      <c r="P3" s="228">
        <f>'ErP Inputs'!$D$46</f>
        <v>0</v>
      </c>
      <c r="Q3" s="40" t="s">
        <v>20</v>
      </c>
      <c r="T3" s="158"/>
      <c r="U3" s="158"/>
      <c r="V3" s="158"/>
      <c r="W3" s="158"/>
    </row>
    <row r="4" spans="1:23" ht="15.75" x14ac:dyDescent="0.25">
      <c r="A4" s="208"/>
      <c r="B4" s="43" t="s">
        <v>19</v>
      </c>
      <c r="C4" s="36">
        <v>-10</v>
      </c>
      <c r="D4" s="40" t="s">
        <v>162</v>
      </c>
      <c r="I4" s="105" t="s">
        <v>50</v>
      </c>
      <c r="J4" s="105" t="s">
        <v>190</v>
      </c>
      <c r="K4" s="105" t="s">
        <v>191</v>
      </c>
      <c r="L4" s="105" t="s">
        <v>192</v>
      </c>
      <c r="M4" s="105" t="s">
        <v>193</v>
      </c>
      <c r="O4" s="43" t="s">
        <v>174</v>
      </c>
      <c r="P4" s="228">
        <f>'ErP Inputs'!$D$47</f>
        <v>0</v>
      </c>
      <c r="Q4" s="40" t="s">
        <v>20</v>
      </c>
      <c r="T4" s="158"/>
      <c r="U4" s="158"/>
      <c r="V4" s="158"/>
      <c r="W4" s="158"/>
    </row>
    <row r="5" spans="1:23" ht="15.75" x14ac:dyDescent="0.25">
      <c r="A5" s="208"/>
      <c r="B5" s="43" t="s">
        <v>24</v>
      </c>
      <c r="C5" s="191">
        <f>IF('ErP Inputs'!E24="",('ErP Inputs'!B24+'ErP Inputs'!G24)/2,'ErP Inputs'!E24)</f>
        <v>0</v>
      </c>
      <c r="D5" s="40" t="s">
        <v>20</v>
      </c>
      <c r="H5" s="43" t="s">
        <v>49</v>
      </c>
      <c r="I5" s="41">
        <f>IF('ErP Inputs'!E4="Air to Air",1400,2066)</f>
        <v>1400</v>
      </c>
      <c r="J5" s="36">
        <f>IF('ErP Inputs'!E4="Air to Air",179,178)</f>
        <v>179</v>
      </c>
      <c r="K5" s="36">
        <v>0</v>
      </c>
      <c r="L5" s="36">
        <v>3672</v>
      </c>
      <c r="M5" s="36">
        <f>IF('ErP Inputs'!E4="Air to Air",3851,3850)</f>
        <v>3851</v>
      </c>
      <c r="O5" s="43" t="s">
        <v>175</v>
      </c>
      <c r="P5" s="228">
        <f>'ErP Inputs'!$D$48</f>
        <v>0</v>
      </c>
      <c r="Q5" s="40" t="s">
        <v>20</v>
      </c>
      <c r="T5" s="158"/>
      <c r="U5" s="158"/>
      <c r="V5" s="158"/>
      <c r="W5" s="158"/>
    </row>
    <row r="6" spans="1:23" ht="15.75" x14ac:dyDescent="0.25">
      <c r="A6" s="208"/>
      <c r="C6" s="207"/>
      <c r="I6" s="207"/>
      <c r="J6" s="207"/>
      <c r="K6" s="207"/>
      <c r="L6" s="207"/>
      <c r="O6" s="59" t="s">
        <v>176</v>
      </c>
      <c r="P6" s="220">
        <f>C5*I5</f>
        <v>0</v>
      </c>
      <c r="Q6" s="256"/>
      <c r="T6" s="158"/>
      <c r="U6" s="158"/>
      <c r="V6" s="158"/>
      <c r="W6" s="158"/>
    </row>
    <row r="7" spans="1:23" ht="15.75" x14ac:dyDescent="0.25">
      <c r="A7" s="211"/>
      <c r="B7" s="37" t="str">
        <f>'ErP Inputs'!E4</f>
        <v>Air to Air</v>
      </c>
      <c r="C7" s="212"/>
      <c r="I7" s="207"/>
      <c r="J7" s="207"/>
      <c r="K7" s="207"/>
      <c r="L7" s="207"/>
      <c r="O7" s="43" t="s">
        <v>177</v>
      </c>
      <c r="P7" s="220" t="e">
        <f>P6/M25+(J5*P3)+(L5*P4)+(M5*P5)</f>
        <v>#VALUE!</v>
      </c>
      <c r="Q7" s="257"/>
      <c r="T7" s="158"/>
      <c r="U7" s="158"/>
      <c r="V7" s="158"/>
      <c r="W7" s="158"/>
    </row>
    <row r="8" spans="1:23" ht="13.5" thickBot="1" x14ac:dyDescent="0.3">
      <c r="A8" s="211"/>
      <c r="B8" s="37" t="str">
        <f>'ErP Inputs'!E5</f>
        <v>Variable Outlet</v>
      </c>
      <c r="C8" s="207"/>
    </row>
    <row r="9" spans="1:23" ht="13.5" thickBot="1" x14ac:dyDescent="0.3">
      <c r="A9" s="211"/>
      <c r="C9" s="207"/>
      <c r="O9" s="213" t="s">
        <v>48</v>
      </c>
      <c r="P9" s="232" t="e">
        <f>P6/P7</f>
        <v>#VALUE!</v>
      </c>
    </row>
    <row r="10" spans="1:23" x14ac:dyDescent="0.25">
      <c r="A10" s="211"/>
      <c r="B10" s="43" t="s">
        <v>22</v>
      </c>
      <c r="C10" s="38" t="str">
        <f>IF(C3="Average","(Tj-16) / (-10-16) %",IF(C3="Warmer","(Tj-16) / (+2-16) %","(Tj-16) / (-22-16) %"))</f>
        <v>(Tj-16) / (-10-16) %</v>
      </c>
      <c r="D10" s="38"/>
      <c r="F10" s="114"/>
      <c r="O10" s="205" t="s">
        <v>52</v>
      </c>
      <c r="P10" s="58">
        <v>2.5</v>
      </c>
      <c r="Q10" s="173"/>
    </row>
    <row r="11" spans="1:23" x14ac:dyDescent="0.25">
      <c r="A11" s="211"/>
      <c r="B11" s="214"/>
      <c r="C11" s="215"/>
      <c r="H11" s="207"/>
      <c r="O11" s="43" t="s">
        <v>54</v>
      </c>
      <c r="P11" s="36">
        <v>3</v>
      </c>
      <c r="Q11" s="40" t="s">
        <v>27</v>
      </c>
    </row>
    <row r="12" spans="1:23" ht="25.5" x14ac:dyDescent="0.25">
      <c r="A12" s="211"/>
      <c r="B12" s="105" t="s">
        <v>26</v>
      </c>
      <c r="C12" s="106" t="s">
        <v>105</v>
      </c>
      <c r="D12" s="106" t="s">
        <v>106</v>
      </c>
      <c r="E12" s="106" t="s">
        <v>25</v>
      </c>
      <c r="F12" s="106" t="s">
        <v>22</v>
      </c>
      <c r="G12" s="106" t="s">
        <v>28</v>
      </c>
      <c r="H12" s="106" t="s">
        <v>29</v>
      </c>
      <c r="I12" s="106" t="s">
        <v>30</v>
      </c>
      <c r="J12" s="106" t="s">
        <v>207</v>
      </c>
      <c r="K12" s="106" t="s">
        <v>205</v>
      </c>
      <c r="L12" s="106" t="s">
        <v>36</v>
      </c>
      <c r="M12" s="106" t="s">
        <v>31</v>
      </c>
      <c r="O12" s="43" t="s">
        <v>80</v>
      </c>
      <c r="P12" s="36">
        <f>IF(B7="Ground Source",5,0)</f>
        <v>0</v>
      </c>
      <c r="Q12" s="40" t="s">
        <v>27</v>
      </c>
    </row>
    <row r="13" spans="1:23" ht="15.75" x14ac:dyDescent="0.25">
      <c r="B13" s="264"/>
      <c r="C13" s="206"/>
      <c r="D13" s="206"/>
      <c r="E13" s="265"/>
      <c r="F13" s="173" t="s">
        <v>27</v>
      </c>
      <c r="G13" s="173" t="s">
        <v>20</v>
      </c>
      <c r="H13" s="173" t="s">
        <v>20</v>
      </c>
      <c r="I13" s="173" t="s">
        <v>178</v>
      </c>
      <c r="J13" s="173" t="s">
        <v>73</v>
      </c>
      <c r="K13" s="173" t="s">
        <v>74</v>
      </c>
      <c r="L13" s="173"/>
      <c r="M13" s="173" t="s">
        <v>179</v>
      </c>
      <c r="O13" s="43" t="s">
        <v>118</v>
      </c>
      <c r="P13" s="36">
        <f>P11+P12</f>
        <v>3</v>
      </c>
      <c r="Q13" s="40" t="s">
        <v>27</v>
      </c>
    </row>
    <row r="14" spans="1:23" ht="13.5" thickBot="1" x14ac:dyDescent="0.3">
      <c r="A14" s="211"/>
      <c r="B14" s="43"/>
      <c r="C14" s="36">
        <v>-15</v>
      </c>
      <c r="D14" s="216" t="str">
        <f>IF($C$3="Average","Not Applicable",IF($C$3="Warmer","Not Applicable",IF($C$3="Colder",(minus15-16)/(Tdesignh-16),"Check Value")))</f>
        <v>Not Applicable</v>
      </c>
      <c r="E14" s="216" t="str">
        <f>IF($C$3="Average","Not Applicable",IF($C$3="Warmer","Not Applicable",IF($C$3="Colder",(minus15-16)/(Tdesignh-16),"Check Value")))</f>
        <v>Not Applicable</v>
      </c>
      <c r="F14" s="263"/>
      <c r="G14" s="263"/>
      <c r="H14" s="263"/>
      <c r="I14" s="263"/>
      <c r="J14" s="263"/>
      <c r="K14" s="263"/>
      <c r="L14" s="263"/>
      <c r="M14" s="263"/>
    </row>
    <row r="15" spans="1:23" ht="41.25" customHeight="1" thickBot="1" x14ac:dyDescent="0.3">
      <c r="A15" s="211"/>
      <c r="B15" s="217" t="s">
        <v>15</v>
      </c>
      <c r="C15" s="217">
        <v>-7</v>
      </c>
      <c r="D15" s="36">
        <f>IF('ErP Inputs'!E4="Ground Source",0,IF('ErP Inputs'!E4="Air Source",-7,10))</f>
        <v>10</v>
      </c>
      <c r="E15" s="217" t="str">
        <f>'ErP Inputs'!F50</f>
        <v>20</v>
      </c>
      <c r="F15" s="218">
        <f>(C15-16)/(Tdesignh-16)</f>
        <v>0.88461538461538458</v>
      </c>
      <c r="G15" s="191">
        <f>F15*$C$5</f>
        <v>0</v>
      </c>
      <c r="H15" s="191">
        <f>IF('ErP Inputs'!E51="",'ErP Inputs'!E30,'ErP Inputs'!E51)</f>
        <v>0</v>
      </c>
      <c r="I15" s="191">
        <f>IF('ErP Inputs'!E52="",(('Medium SCOP'!J15-'Low SCOP'!I15)*0.5+'Low SCOP'!I15),'ErP Inputs'!E52)</f>
        <v>0</v>
      </c>
      <c r="J15" s="191">
        <f>IF('ErP Inputs'!E53="",IF('ErP Inputs'!E4="Air to Air",0.25,0.9),'ErP Inputs'!E53)</f>
        <v>0.25</v>
      </c>
      <c r="K15" s="191" t="e">
        <f>IF(H15&lt;G15,1,G15/H15)</f>
        <v>#DIV/0!</v>
      </c>
      <c r="L15" s="191" t="e">
        <f>K15/(J15*K15+(1-J15))</f>
        <v>#DIV/0!</v>
      </c>
      <c r="M15" s="191" t="e">
        <f>IF(K15=1,I15,I15*K15/(J15*K15+(1-J15)))</f>
        <v>#DIV/0!</v>
      </c>
      <c r="O15" s="213" t="s">
        <v>51</v>
      </c>
      <c r="P15" s="231" t="e">
        <f>(100/P10)*P9-P13</f>
        <v>#VALUE!</v>
      </c>
    </row>
    <row r="16" spans="1:23" ht="13.5" thickBot="1" x14ac:dyDescent="0.3">
      <c r="B16" s="217" t="s">
        <v>16</v>
      </c>
      <c r="C16" s="217">
        <v>2</v>
      </c>
      <c r="D16" s="36">
        <f>IF('ErP Inputs'!E4="Ground Source",0,IF('ErP Inputs'!E4="Air Source",2,10))</f>
        <v>10</v>
      </c>
      <c r="E16" s="217" t="str">
        <f>'ErP Inputs'!H50</f>
        <v>20</v>
      </c>
      <c r="F16" s="218">
        <f>(C16-16)/(Tdesignh-16)</f>
        <v>0.53846153846153844</v>
      </c>
      <c r="G16" s="191">
        <f t="shared" ref="G16:G20" si="0">F16*$C$5</f>
        <v>0</v>
      </c>
      <c r="H16" s="191">
        <f>IF('ErP Inputs'!G51="",'ErP Inputs'!G30,'ErP Inputs'!G51)</f>
        <v>0</v>
      </c>
      <c r="I16" s="191">
        <f>IF('ErP Inputs'!G52="",(('Medium SCOP'!J16-'Low SCOP'!I16)*0.5+'Low SCOP'!I16),'ErP Inputs'!G52)</f>
        <v>0</v>
      </c>
      <c r="J16" s="191">
        <f>IF('ErP Inputs'!G53="",IF('ErP Inputs'!E4="Air to Air",0.25,0.9),'ErP Inputs'!G53)</f>
        <v>0.25</v>
      </c>
      <c r="K16" s="191" t="e">
        <f t="shared" ref="K16:K20" si="1">IF(H16&lt;G16,1,G16/H16)</f>
        <v>#DIV/0!</v>
      </c>
      <c r="L16" s="191" t="e">
        <f t="shared" ref="L16:L20" si="2">K16/(J16*K16+(1-J16))</f>
        <v>#DIV/0!</v>
      </c>
      <c r="M16" s="191" t="e">
        <f t="shared" ref="M16:M20" si="3">IF(K16=1,I16,I16*K16/(J16*K16+(1-J16)))</f>
        <v>#DIV/0!</v>
      </c>
    </row>
    <row r="17" spans="2:18" ht="13.5" thickBot="1" x14ac:dyDescent="0.3">
      <c r="B17" s="217" t="s">
        <v>17</v>
      </c>
      <c r="C17" s="217">
        <v>7</v>
      </c>
      <c r="D17" s="36">
        <f>IF('ErP Inputs'!E4="Ground Source",0,IF('ErP Inputs'!E4="Air Source",7,10))</f>
        <v>10</v>
      </c>
      <c r="E17" s="217" t="str">
        <f>'ErP Inputs'!J50</f>
        <v>20</v>
      </c>
      <c r="F17" s="218">
        <f>(C17-16)/(Tdesignh-16)</f>
        <v>0.34615384615384615</v>
      </c>
      <c r="G17" s="191">
        <f t="shared" si="0"/>
        <v>0</v>
      </c>
      <c r="H17" s="191">
        <f>IF('ErP Inputs'!I51="",'ErP Inputs'!I30,'ErP Inputs'!I51)</f>
        <v>0</v>
      </c>
      <c r="I17" s="191">
        <f>IF('ErP Inputs'!I52="",(('Medium SCOP'!J17-'Low SCOP'!I17)*0.5+'Low SCOP'!I17),'ErP Inputs'!I52)</f>
        <v>0</v>
      </c>
      <c r="J17" s="191">
        <f>IF('ErP Inputs'!I53="",IF('ErP Inputs'!E4="Air to Air",0.25,0.9),'ErP Inputs'!I53)</f>
        <v>0.25</v>
      </c>
      <c r="K17" s="191" t="e">
        <f t="shared" si="1"/>
        <v>#DIV/0!</v>
      </c>
      <c r="L17" s="191" t="e">
        <f t="shared" si="2"/>
        <v>#DIV/0!</v>
      </c>
      <c r="M17" s="191" t="e">
        <f t="shared" si="3"/>
        <v>#DIV/0!</v>
      </c>
      <c r="O17" s="234" t="s">
        <v>53</v>
      </c>
      <c r="P17" s="229" t="e">
        <f>IF('ErP Inputs'!E8="Low Temperature Heat Pump",IF(P15&gt;=150,"A++",IF(AND(P15&lt;150,P15&gt;=123),"A+",IF(AND(P15&lt;123,P15&gt;=115),"A",IF(AND(P15&lt;115,P15&gt;=107),"B",IF(AND(P15&lt;107,P15&gt;=100),"C",IF(AND(P15&lt;100,P15&gt;=61),"D",IF(AND(P15&lt;61,P15&gt;=59),"E",IF(AND(P15&lt;59,P15&gt;=55),"F","G")))))))),IF(P15&gt;=125,"A++",IF(AND(P15&lt;125,P15&gt;=98),"A+",IF(AND(P15&lt;98,P15&gt;=90),"A",IF(AND(P15&lt;90,P15&gt;=82),"B",IF(AND(P15&lt;82,P15&gt;=75),"C",IF(AND(P15&lt;75,P15&gt;=36),"D",IF(AND(P15&lt;36,P15&gt;=34),"E",IF(AND(P15&lt;34,P15&gt;=30),"F","G")))))))))</f>
        <v>#VALUE!</v>
      </c>
    </row>
    <row r="18" spans="2:18" ht="13.5" thickBot="1" x14ac:dyDescent="0.3">
      <c r="B18" s="217" t="s">
        <v>18</v>
      </c>
      <c r="C18" s="217">
        <v>12</v>
      </c>
      <c r="D18" s="36">
        <f>IF('ErP Inputs'!E4="Ground Source",0,IF('ErP Inputs'!E4="Air Source",12,10))</f>
        <v>10</v>
      </c>
      <c r="E18" s="217" t="str">
        <f>'ErP Inputs'!L50</f>
        <v>20</v>
      </c>
      <c r="F18" s="218">
        <f>(C18-16)/(Tdesignh-16)</f>
        <v>0.15384615384615385</v>
      </c>
      <c r="G18" s="191">
        <f t="shared" si="0"/>
        <v>0</v>
      </c>
      <c r="H18" s="191">
        <f>IF('ErP Inputs'!K51="",'ErP Inputs'!K30,'ErP Inputs'!K51)</f>
        <v>0</v>
      </c>
      <c r="I18" s="191">
        <f>IF('ErP Inputs'!K52="",(('Medium SCOP'!J18-'Low SCOP'!I18)*0.5+'Low SCOP'!I18),'ErP Inputs'!K52)</f>
        <v>0</v>
      </c>
      <c r="J18" s="191">
        <f>IF('ErP Inputs'!K53="",IF('ErP Inputs'!E4="Air to Air",0.25,0.9),'ErP Inputs'!K53)</f>
        <v>0.25</v>
      </c>
      <c r="K18" s="191" t="e">
        <f>IF(H18&lt;G18,1,G18/H18)</f>
        <v>#DIV/0!</v>
      </c>
      <c r="L18" s="191" t="e">
        <f t="shared" si="2"/>
        <v>#DIV/0!</v>
      </c>
      <c r="M18" s="191" t="e">
        <f>IF(K18=1,I18,I18*K18/(J18*K18+(1-J18)))</f>
        <v>#DIV/0!</v>
      </c>
    </row>
    <row r="19" spans="2:18" ht="15" thickBot="1" x14ac:dyDescent="0.3">
      <c r="B19" s="217" t="s">
        <v>104</v>
      </c>
      <c r="C19" s="217" t="str">
        <f>IF(OR('ErP Inputs'!E4="Ground Source",'ErP Inputs'!E4="Water Source"),-10,IF('ErP Inputs'!D45&gt;-7,"N/A",IF(AND('ErP Inputs'!D45&gt;=Tdesignh,'ErP Inputs'!D45&lt;=-7),'ErP Inputs'!D45,Tdesignh)))</f>
        <v>N/A</v>
      </c>
      <c r="D19" s="36">
        <f>IF('ErP Inputs'!E4="Ground Source",0,IF('ErP Inputs'!E4="Air Source",C19,10))</f>
        <v>10</v>
      </c>
      <c r="E19" s="217" t="str">
        <f>'ErP Inputs'!N50</f>
        <v>20</v>
      </c>
      <c r="F19" s="218" t="e">
        <f>(C19-16)/(Tdesignh-16)</f>
        <v>#VALUE!</v>
      </c>
      <c r="G19" s="191" t="e">
        <f t="shared" si="0"/>
        <v>#VALUE!</v>
      </c>
      <c r="H19" s="191">
        <f>IF('ErP Inputs'!M51="",'ErP Inputs'!M30,'ErP Inputs'!M51)</f>
        <v>0</v>
      </c>
      <c r="I19" s="191">
        <f>IF('ErP Inputs'!M52="",(('Medium SCOP'!J19-'Low SCOP'!I19)*0.5+'Low SCOP'!I19),'ErP Inputs'!M52)</f>
        <v>0</v>
      </c>
      <c r="J19" s="191">
        <f>IF('ErP Inputs'!M53="",IF('ErP Inputs'!E4="Air to Air",0.25,0.9),'ErP Inputs'!M53)</f>
        <v>0.25</v>
      </c>
      <c r="K19" s="191" t="e">
        <f t="shared" si="1"/>
        <v>#VALUE!</v>
      </c>
      <c r="L19" s="191" t="e">
        <f t="shared" si="2"/>
        <v>#VALUE!</v>
      </c>
      <c r="M19" s="191" t="e">
        <f t="shared" si="3"/>
        <v>#VALUE!</v>
      </c>
      <c r="O19" s="234" t="s">
        <v>119</v>
      </c>
      <c r="P19" s="230">
        <f>IF(P20=FALSE,MIN(R29:R54),"N/A")</f>
        <v>-10</v>
      </c>
      <c r="Q19" s="229" t="s">
        <v>162</v>
      </c>
    </row>
    <row r="20" spans="2:18" x14ac:dyDescent="0.25">
      <c r="B20" s="217" t="s">
        <v>123</v>
      </c>
      <c r="C20" s="217">
        <f>'ErP Inputs'!D19</f>
        <v>0</v>
      </c>
      <c r="D20" s="36">
        <f>IF('ErP Inputs'!E4="Ground Source",0,IF('ErP Inputs'!E4="Air Source",C20,10))</f>
        <v>10</v>
      </c>
      <c r="E20" s="217" t="str">
        <f>'ErP Inputs'!P50</f>
        <v/>
      </c>
      <c r="F20" s="218">
        <f t="shared" ref="F20" si="4">(C20-16)/(Tdesignh-16)</f>
        <v>0.61538461538461542</v>
      </c>
      <c r="G20" s="191">
        <f t="shared" si="0"/>
        <v>0</v>
      </c>
      <c r="H20" s="191">
        <f>IF('ErP Inputs'!O51="",'ErP Inputs'!O30,'ErP Inputs'!O51)</f>
        <v>0</v>
      </c>
      <c r="I20" s="191">
        <f>IF('ErP Inputs'!O52="",(('Medium SCOP'!J20-'Low SCOP'!I20)*0.5+'Low SCOP'!I20),'ErP Inputs'!O52)</f>
        <v>0</v>
      </c>
      <c r="J20" s="191">
        <f>IF('ErP Inputs'!O53="",IF('ErP Inputs'!E4="Air to Air",0.25,0.9),'ErP Inputs'!O53)</f>
        <v>0.25</v>
      </c>
      <c r="K20" s="191" t="e">
        <f t="shared" si="1"/>
        <v>#DIV/0!</v>
      </c>
      <c r="L20" s="191" t="e">
        <f t="shared" si="2"/>
        <v>#DIV/0!</v>
      </c>
      <c r="M20" s="191" t="e">
        <f t="shared" si="3"/>
        <v>#DIV/0!</v>
      </c>
      <c r="P20" s="233" t="b">
        <f>ISERROR(M25)</f>
        <v>0</v>
      </c>
    </row>
    <row r="21" spans="2:18" x14ac:dyDescent="0.25">
      <c r="B21" s="262" t="s">
        <v>150</v>
      </c>
      <c r="C21" s="262"/>
      <c r="D21" s="262"/>
      <c r="E21" s="262"/>
      <c r="F21" s="262"/>
      <c r="G21" s="262"/>
      <c r="H21" s="262"/>
      <c r="I21" s="262"/>
      <c r="J21" s="262"/>
      <c r="K21" s="262"/>
      <c r="L21" s="262"/>
      <c r="M21" s="262"/>
      <c r="P21" s="233"/>
    </row>
    <row r="22" spans="2:18" x14ac:dyDescent="0.25">
      <c r="B22" s="255" t="s">
        <v>204</v>
      </c>
      <c r="C22" s="255"/>
      <c r="D22" s="255"/>
      <c r="E22" s="255"/>
      <c r="F22" s="255"/>
      <c r="G22" s="255"/>
      <c r="H22" s="255"/>
      <c r="I22" s="255"/>
      <c r="J22" s="255"/>
      <c r="K22" s="255"/>
      <c r="L22" s="255"/>
      <c r="M22" s="255"/>
      <c r="P22" s="233"/>
    </row>
    <row r="23" spans="2:18" x14ac:dyDescent="0.25">
      <c r="B23" s="255" t="s">
        <v>208</v>
      </c>
      <c r="C23" s="255"/>
      <c r="D23" s="255"/>
      <c r="E23" s="255"/>
      <c r="F23" s="255"/>
      <c r="G23" s="255"/>
      <c r="H23" s="255"/>
      <c r="I23" s="255"/>
      <c r="J23" s="255"/>
      <c r="K23" s="255"/>
      <c r="L23" s="255"/>
      <c r="M23" s="255"/>
      <c r="P23" s="233"/>
    </row>
    <row r="24" spans="2:18" ht="13.5" thickBot="1" x14ac:dyDescent="0.3"/>
    <row r="25" spans="2:18" ht="15" thickBot="1" x14ac:dyDescent="0.3">
      <c r="L25" s="234" t="s">
        <v>194</v>
      </c>
      <c r="M25" s="231" t="str">
        <f>M56</f>
        <v>N/A</v>
      </c>
      <c r="O25" s="234" t="s">
        <v>195</v>
      </c>
      <c r="P25" s="231" t="str">
        <f>P56</f>
        <v>N/A</v>
      </c>
    </row>
    <row r="26" spans="2:18" ht="52.5" customHeight="1" x14ac:dyDescent="0.25">
      <c r="B26" s="105" t="s">
        <v>32</v>
      </c>
      <c r="C26" s="106" t="s">
        <v>33</v>
      </c>
      <c r="D26" s="105" t="s">
        <v>34</v>
      </c>
      <c r="E26" s="105" t="s">
        <v>22</v>
      </c>
      <c r="F26" s="105" t="s">
        <v>28</v>
      </c>
      <c r="G26" s="106" t="s">
        <v>39</v>
      </c>
      <c r="H26" s="106" t="s">
        <v>37</v>
      </c>
      <c r="I26" s="106" t="s">
        <v>35</v>
      </c>
      <c r="J26" s="106" t="s">
        <v>38</v>
      </c>
      <c r="K26" s="106" t="s">
        <v>40</v>
      </c>
      <c r="L26" s="106" t="s">
        <v>189</v>
      </c>
      <c r="M26" s="106" t="s">
        <v>41</v>
      </c>
      <c r="O26" s="106" t="s">
        <v>42</v>
      </c>
      <c r="P26" s="106" t="s">
        <v>44</v>
      </c>
    </row>
    <row r="27" spans="2:18" ht="15.75" x14ac:dyDescent="0.25">
      <c r="B27" s="224" t="s">
        <v>0</v>
      </c>
      <c r="C27" s="224" t="s">
        <v>180</v>
      </c>
      <c r="D27" s="224" t="s">
        <v>181</v>
      </c>
      <c r="E27" s="224"/>
      <c r="F27" s="224" t="s">
        <v>182</v>
      </c>
      <c r="G27" s="224" t="s">
        <v>183</v>
      </c>
      <c r="H27" s="225"/>
      <c r="I27" s="227"/>
      <c r="J27" s="224" t="s">
        <v>184</v>
      </c>
      <c r="K27" s="224" t="s">
        <v>185</v>
      </c>
      <c r="L27" s="258"/>
      <c r="M27" s="224" t="s">
        <v>186</v>
      </c>
      <c r="O27" s="224" t="s">
        <v>43</v>
      </c>
      <c r="P27" s="224" t="s">
        <v>187</v>
      </c>
    </row>
    <row r="28" spans="2:18" ht="14.25" x14ac:dyDescent="0.25">
      <c r="B28" s="173"/>
      <c r="C28" s="173" t="s">
        <v>155</v>
      </c>
      <c r="D28" s="173" t="s">
        <v>4</v>
      </c>
      <c r="E28" s="173"/>
      <c r="F28" s="173" t="s">
        <v>20</v>
      </c>
      <c r="G28" s="173" t="s">
        <v>21</v>
      </c>
      <c r="H28" s="173" t="s">
        <v>20</v>
      </c>
      <c r="I28" s="173" t="s">
        <v>20</v>
      </c>
      <c r="J28" s="174" t="s">
        <v>20</v>
      </c>
      <c r="K28" s="173" t="s">
        <v>21</v>
      </c>
      <c r="L28" s="174"/>
      <c r="M28" s="173" t="s">
        <v>21</v>
      </c>
      <c r="O28" s="173" t="s">
        <v>21</v>
      </c>
      <c r="P28" s="173" t="s">
        <v>21</v>
      </c>
    </row>
    <row r="29" spans="2:18" x14ac:dyDescent="0.25">
      <c r="B29" s="36">
        <v>21</v>
      </c>
      <c r="C29" s="36">
        <v>-10</v>
      </c>
      <c r="D29" s="36">
        <f>HLOOKUP($C$3,'Table 37'!$B$3:$F$51,24,FALSE)</f>
        <v>1</v>
      </c>
      <c r="E29" s="219">
        <f t="shared" ref="E29:E54" si="5">(C29-16)/(Tdesignh-16)</f>
        <v>1</v>
      </c>
      <c r="F29" s="219">
        <f>$C$5*E29</f>
        <v>0</v>
      </c>
      <c r="G29" s="220">
        <f t="shared" ref="G29:G54" si="6">D29*F29</f>
        <v>0</v>
      </c>
      <c r="H29" s="157">
        <f>IF(C19&gt;C29,0,H19)</f>
        <v>0</v>
      </c>
      <c r="I29" s="157">
        <f>IF(F29&lt;H29,F29,H29)</f>
        <v>0</v>
      </c>
      <c r="J29" s="221">
        <f>IF(H29&gt;0.9*F29,0,F29-H29)</f>
        <v>0</v>
      </c>
      <c r="K29" s="220" t="e">
        <f>IF(C19="N/A",#DIV/0!,J29*D29)</f>
        <v>#DIV/0!</v>
      </c>
      <c r="L29" s="244" t="e">
        <f>COPPL_TOL</f>
        <v>#VALUE!</v>
      </c>
      <c r="M29" s="220" t="e">
        <f>IFERROR(D29*((F29-J29)/L29+J29),K29)</f>
        <v>#DIV/0!</v>
      </c>
      <c r="O29" s="220">
        <f t="shared" ref="O29:O54" si="7">D29*(F29-J29)</f>
        <v>0</v>
      </c>
      <c r="P29" s="220" t="e">
        <f>IF(O29=0,K29,IF(E29&lt;1,D29*P29/L29,D29*(F29-J29)/L29))</f>
        <v>#DIV/0!</v>
      </c>
      <c r="Q29" s="217">
        <f>IF(AND(F29*0.9&gt;H29,F30*0.9&lt;H30),C29,-10)</f>
        <v>-10</v>
      </c>
      <c r="R29" s="260">
        <f>IF(Q29=FALSE,"N/A",C29)</f>
        <v>-10</v>
      </c>
    </row>
    <row r="30" spans="2:18" x14ac:dyDescent="0.25">
      <c r="B30" s="36">
        <v>22</v>
      </c>
      <c r="C30" s="36">
        <v>-9</v>
      </c>
      <c r="D30" s="36">
        <f>HLOOKUP($C$3,'Table 37'!$B$3:$F$51,25,FALSE)</f>
        <v>25</v>
      </c>
      <c r="E30" s="219">
        <f t="shared" si="5"/>
        <v>0.96153846153846156</v>
      </c>
      <c r="F30" s="219">
        <f t="shared" ref="F30:F54" si="8">$C$5*E30</f>
        <v>0</v>
      </c>
      <c r="G30" s="220">
        <f t="shared" si="6"/>
        <v>0</v>
      </c>
      <c r="H30" s="219">
        <f>IF(C19&gt;C30,0,IF(C19=C30,H19,(($H$15-$H$19)/($C$15-$C$19)*(C30-$C$19)+$H$19)))</f>
        <v>0</v>
      </c>
      <c r="I30" s="219">
        <f>IF(H30=0,0,IF(F30&lt;(($H$15-$H$19)/($C$15-$C$19)*(C30-$C$19)+$H$19),F30,(($H$15-$H$19)/($C$15-$C$19)*(C30-$C$19)+$H$19)))</f>
        <v>0</v>
      </c>
      <c r="J30" s="221">
        <f t="shared" ref="J30:J54" si="9">IF(H30&gt;0.9*F30,0,F30-H30)</f>
        <v>0</v>
      </c>
      <c r="K30" s="220">
        <f t="shared" ref="K30:K54" si="10">J30*D30</f>
        <v>0</v>
      </c>
      <c r="L30" s="221" t="e">
        <f>IF(('ErP Inputs'!$H$19)=(TRUE),IF(AND($C$20&lt;$C$15,$C$20&gt;C$19),IF($C$20=C30,COPPL_Tbiv,IF($C$20&gt;C30,((COPPL_Tbiv-COPPL_TOL)/($C$20-$C$19)*(C30-$C$20)+COPPL_TOL),((COPPL_a-COPPL_TOL)/($C$15-$C$20)*(C30-$C$15)+COPPL_a))),((COPPL_a-COPPL_TOL)/($C$15-$C$19)*(C30-$C$15)+COPPL_a)),((COPPL_a-COPPL_TOL)/($C$15-$C$19)*(C30-$C$15)+COPPL_a))</f>
        <v>#DIV/0!</v>
      </c>
      <c r="M30" s="220">
        <f>IFERROR(D30*((F30-J30)/L30+J30),K30)</f>
        <v>0</v>
      </c>
      <c r="O30" s="220">
        <f t="shared" si="7"/>
        <v>0</v>
      </c>
      <c r="P30" s="220">
        <f>IF(O29=0,K30,D30*(F30-J30)/L30)</f>
        <v>0</v>
      </c>
      <c r="Q30" s="217" t="b">
        <f>IF(AND(F30*0.9&gt;H30,F31*0.9&lt;H31),C30,FALSE)</f>
        <v>0</v>
      </c>
      <c r="R30" s="260" t="str">
        <f t="shared" ref="R30:R54" si="11">IF(Q30=FALSE,"N/A",C30)</f>
        <v>N/A</v>
      </c>
    </row>
    <row r="31" spans="2:18" x14ac:dyDescent="0.25">
      <c r="B31" s="36">
        <v>23</v>
      </c>
      <c r="C31" s="36">
        <v>-8</v>
      </c>
      <c r="D31" s="36">
        <f>HLOOKUP($C$3,'Table 37'!$B$3:$F$51,26,FALSE)</f>
        <v>23</v>
      </c>
      <c r="E31" s="219">
        <f t="shared" si="5"/>
        <v>0.92307692307692313</v>
      </c>
      <c r="F31" s="219">
        <f t="shared" si="8"/>
        <v>0</v>
      </c>
      <c r="G31" s="220">
        <f t="shared" si="6"/>
        <v>0</v>
      </c>
      <c r="H31" s="219">
        <f>IF(C19&gt;C31,0,IF(C19=C31,H19,(($H$15-$H$19)/($C$15-$C$19)*(C31-$C$19)+$H$19)))</f>
        <v>0</v>
      </c>
      <c r="I31" s="219">
        <f>IF(C19&gt;=-7,0,IF(F31&lt;(($H$15-$H$19)/($C$15-$C$19)*(C31-$C$19)+$H$19),F31,(($H$15-$H$19)/($C$15-$C$19)*(C31-$C$19)+$H$19)))</f>
        <v>0</v>
      </c>
      <c r="J31" s="221">
        <f t="shared" si="9"/>
        <v>0</v>
      </c>
      <c r="K31" s="220">
        <f t="shared" si="10"/>
        <v>0</v>
      </c>
      <c r="L31" s="221" t="e">
        <f>IF(('ErP Inputs'!$H$19)=(TRUE),IF(AND($C$20&lt;$C$15,$C$20&gt;C$19),IF($C$20=C31,COPPL_Tbiv,IF($C$20&gt;C31,((COPPL_Tbiv-COPPL_TOL)/($C$20-$C$19)*(C31-$C$20)+COPPL_TOL),((COPPL_a-COPPL_TOL)/($C$15-$C$20)*(C31-$C$15)+COPPL_a))),((COPPL_a-COPPL_TOL)/($C$15-$C$19)*(C31-$C$15)+COPPL_a)),((COPPL_a-COPPL_TOL)/($C$15-$C$19)*(C31-$C$15)+COPPL_a))</f>
        <v>#DIV/0!</v>
      </c>
      <c r="M31" s="220">
        <f>IFERROR(D31*((F31-J31)/L31+J31),K31)</f>
        <v>0</v>
      </c>
      <c r="O31" s="220">
        <f t="shared" si="7"/>
        <v>0</v>
      </c>
      <c r="P31" s="220">
        <f>IF(O29=0,K31,D31*(F31-J31)/L31)</f>
        <v>0</v>
      </c>
      <c r="Q31" s="217" t="b">
        <f t="shared" ref="Q31:Q54" si="12">IF(AND(F31*0.9&gt;H31,F32*0.9&lt;H32),C31,FALSE)</f>
        <v>0</v>
      </c>
      <c r="R31" s="260" t="str">
        <f t="shared" si="11"/>
        <v>N/A</v>
      </c>
    </row>
    <row r="32" spans="2:18" x14ac:dyDescent="0.25">
      <c r="B32" s="36">
        <v>24</v>
      </c>
      <c r="C32" s="36">
        <v>-7</v>
      </c>
      <c r="D32" s="36">
        <f>HLOOKUP($C$3,'Table 37'!$B$3:$F$51,27,FALSE)</f>
        <v>24</v>
      </c>
      <c r="E32" s="219">
        <f t="shared" si="5"/>
        <v>0.88461538461538458</v>
      </c>
      <c r="F32" s="219">
        <f t="shared" si="8"/>
        <v>0</v>
      </c>
      <c r="G32" s="220">
        <f t="shared" si="6"/>
        <v>0</v>
      </c>
      <c r="H32" s="157">
        <f>H15</f>
        <v>0</v>
      </c>
      <c r="I32" s="157">
        <f>IF(F32&lt;H15,F32,H15)</f>
        <v>0</v>
      </c>
      <c r="J32" s="221">
        <f t="shared" si="9"/>
        <v>0</v>
      </c>
      <c r="K32" s="220">
        <f t="shared" si="10"/>
        <v>0</v>
      </c>
      <c r="L32" s="244" t="e">
        <f>COPPL_a</f>
        <v>#DIV/0!</v>
      </c>
      <c r="M32" s="220" t="e">
        <f t="shared" ref="M32:M54" si="13">D32*((F32-J32)/L32+J32)</f>
        <v>#DIV/0!</v>
      </c>
      <c r="O32" s="220">
        <f t="shared" si="7"/>
        <v>0</v>
      </c>
      <c r="P32" s="220" t="e">
        <f t="shared" ref="P32:P54" si="14">D32*(F32-J32)/L32</f>
        <v>#DIV/0!</v>
      </c>
      <c r="Q32" s="217" t="b">
        <f t="shared" si="12"/>
        <v>0</v>
      </c>
      <c r="R32" s="260" t="str">
        <f t="shared" si="11"/>
        <v>N/A</v>
      </c>
    </row>
    <row r="33" spans="2:18" x14ac:dyDescent="0.25">
      <c r="B33" s="36">
        <v>25</v>
      </c>
      <c r="C33" s="36">
        <v>-6</v>
      </c>
      <c r="D33" s="36">
        <f>HLOOKUP($C$3,'Table 37'!$B$3:$F$51,28,FALSE)</f>
        <v>27</v>
      </c>
      <c r="E33" s="219">
        <f t="shared" si="5"/>
        <v>0.84615384615384615</v>
      </c>
      <c r="F33" s="219">
        <f t="shared" si="8"/>
        <v>0</v>
      </c>
      <c r="G33" s="220">
        <f t="shared" si="6"/>
        <v>0</v>
      </c>
      <c r="H33" s="219">
        <f>(($H$16-$H$15)/($C$16-$C$15)*(C33-$C$15)+$H$15)</f>
        <v>0</v>
      </c>
      <c r="I33" s="219">
        <f>IF(F33&lt;(($H$16-$H$15)/($C$16-$C$15)*(C33-$C$15)+$H$15),F33,(($H$16-$H$15)/($C$16-$C$15)*(C33-$C$15)+$H$15))</f>
        <v>0</v>
      </c>
      <c r="J33" s="221">
        <f t="shared" si="9"/>
        <v>0</v>
      </c>
      <c r="K33" s="220">
        <f t="shared" si="10"/>
        <v>0</v>
      </c>
      <c r="L33" s="221" t="e">
        <f>IF(('ErP Inputs'!$H$19)=(TRUE),IF(AND($C$20&lt;$C$16,$C$20&gt;C$15),IF($C$20=C33,COPPL_Tbiv,IF($C$20&gt;C33,((COPPL_Tbiv-COPPL_a)/($C$20-$C$15)*(C33-$C$20)+COPPL_Tbiv),((COPPL_b-COPPL_Tbiv)/($C$16-$C$20)*(C33-$C$16)+COPPL_b))),((COPPL_b-COPPL_a)/($C$16-$C$15)*(C33-$C$15)+COPPL_a)),((COPPL_b-COPPL_a)/($C$16-$C$15)*(C33-$C$15)+COPPL_a))</f>
        <v>#DIV/0!</v>
      </c>
      <c r="M33" s="220" t="e">
        <f t="shared" si="13"/>
        <v>#DIV/0!</v>
      </c>
      <c r="O33" s="220">
        <f t="shared" si="7"/>
        <v>0</v>
      </c>
      <c r="P33" s="220" t="e">
        <f t="shared" si="14"/>
        <v>#DIV/0!</v>
      </c>
      <c r="Q33" s="217" t="b">
        <f t="shared" si="12"/>
        <v>0</v>
      </c>
      <c r="R33" s="260" t="str">
        <f t="shared" si="11"/>
        <v>N/A</v>
      </c>
    </row>
    <row r="34" spans="2:18" x14ac:dyDescent="0.25">
      <c r="B34" s="36">
        <v>26</v>
      </c>
      <c r="C34" s="36">
        <v>-5</v>
      </c>
      <c r="D34" s="36">
        <f>HLOOKUP($C$3,'Table 37'!$B$3:$F$51,29,FALSE)</f>
        <v>68</v>
      </c>
      <c r="E34" s="219">
        <f t="shared" si="5"/>
        <v>0.80769230769230771</v>
      </c>
      <c r="F34" s="219">
        <f t="shared" si="8"/>
        <v>0</v>
      </c>
      <c r="G34" s="220">
        <f t="shared" si="6"/>
        <v>0</v>
      </c>
      <c r="H34" s="219">
        <f>(($H$16-$H$15)/($C$16-$C$15)*(C34-$C$15)+$H$15)</f>
        <v>0</v>
      </c>
      <c r="I34" s="219">
        <f>IF(F34&lt;(($H$16-$H$15)/($C$16-$C$15)*(C34-$C$15)+$H$15),F34,(($H$16-$H$15)/($C$16-$C$15)*(C34-$C$15)+$H$15))</f>
        <v>0</v>
      </c>
      <c r="J34" s="221">
        <f t="shared" si="9"/>
        <v>0</v>
      </c>
      <c r="K34" s="220">
        <f t="shared" si="10"/>
        <v>0</v>
      </c>
      <c r="L34" s="221" t="e">
        <f>IF(('ErP Inputs'!$H$19)=(TRUE),IF(AND($C$20&lt;$C$16,$C$20&gt;C$15),IF($C$20=C34,COPPL_Tbiv,IF($C$20&gt;C34,((COPPL_Tbiv-COPPL_a)/($C$20-$C$15)*(C34-$C$20)+COPPL_Tbiv),((COPPL_b-COPPL_Tbiv)/($C$16-$C$20)*(C34-$C$16)+COPPL_b))),((COPPL_b-COPPL_a)/($C$16-$C$15)*(C34-$C$15)+COPPL_a)),((COPPL_b-COPPL_a)/($C$16-$C$15)*(C34-$C$15)+COPPL_a))</f>
        <v>#DIV/0!</v>
      </c>
      <c r="M34" s="220" t="e">
        <f t="shared" si="13"/>
        <v>#DIV/0!</v>
      </c>
      <c r="O34" s="220">
        <f t="shared" si="7"/>
        <v>0</v>
      </c>
      <c r="P34" s="220" t="e">
        <f t="shared" si="14"/>
        <v>#DIV/0!</v>
      </c>
      <c r="Q34" s="217" t="b">
        <f t="shared" si="12"/>
        <v>0</v>
      </c>
      <c r="R34" s="260" t="str">
        <f t="shared" si="11"/>
        <v>N/A</v>
      </c>
    </row>
    <row r="35" spans="2:18" x14ac:dyDescent="0.25">
      <c r="B35" s="36">
        <v>27</v>
      </c>
      <c r="C35" s="36">
        <v>-4</v>
      </c>
      <c r="D35" s="36">
        <f>HLOOKUP($C$3,'Table 37'!$B$3:$F$51,30,FALSE)</f>
        <v>91</v>
      </c>
      <c r="E35" s="219">
        <f t="shared" si="5"/>
        <v>0.76923076923076927</v>
      </c>
      <c r="F35" s="219">
        <f t="shared" si="8"/>
        <v>0</v>
      </c>
      <c r="G35" s="220">
        <f t="shared" si="6"/>
        <v>0</v>
      </c>
      <c r="H35" s="219">
        <f>(($H$16-$H$15)/($C$16-$C$15)*(C35-$C$15)+$H$15)</f>
        <v>0</v>
      </c>
      <c r="I35" s="219">
        <f>IF(F35&lt;(($H$16-$H$15)/($C$16-$C$15)*(C35-$C$15)+$H$15),F35,(($H$16-$H$15)/($C$16-$C$15)*(C35-$C$15)+$H$15))</f>
        <v>0</v>
      </c>
      <c r="J35" s="221">
        <f t="shared" si="9"/>
        <v>0</v>
      </c>
      <c r="K35" s="220">
        <f t="shared" si="10"/>
        <v>0</v>
      </c>
      <c r="L35" s="221" t="e">
        <f>IF(('ErP Inputs'!$H$19)=(TRUE),IF(AND($C$20&lt;$C$16,$C$20&gt;C$15),IF($C$20=C35,COPPL_Tbiv,IF($C$20&gt;C35,((COPPL_Tbiv-COPPL_a)/($C$20-$C$15)*(C35-$C$20)+COPPL_Tbiv),((COPPL_b-COPPL_Tbiv)/($C$16-$C$20)*(C35-$C$16)+COPPL_b))),((COPPL_b-COPPL_a)/($C$16-$C$15)*(C35-$C$15)+COPPL_a)),((COPPL_b-COPPL_a)/($C$16-$C$15)*(C35-$C$15)+COPPL_a))</f>
        <v>#DIV/0!</v>
      </c>
      <c r="M35" s="220" t="e">
        <f t="shared" si="13"/>
        <v>#DIV/0!</v>
      </c>
      <c r="O35" s="220">
        <f t="shared" si="7"/>
        <v>0</v>
      </c>
      <c r="P35" s="220" t="e">
        <f t="shared" si="14"/>
        <v>#DIV/0!</v>
      </c>
      <c r="Q35" s="217" t="b">
        <f t="shared" si="12"/>
        <v>0</v>
      </c>
      <c r="R35" s="260" t="str">
        <f t="shared" si="11"/>
        <v>N/A</v>
      </c>
    </row>
    <row r="36" spans="2:18" x14ac:dyDescent="0.25">
      <c r="B36" s="36">
        <v>28</v>
      </c>
      <c r="C36" s="36">
        <v>-3</v>
      </c>
      <c r="D36" s="36">
        <f>HLOOKUP($C$3,'Table 37'!$B$3:$F$51,31,FALSE)</f>
        <v>89</v>
      </c>
      <c r="E36" s="219">
        <f t="shared" si="5"/>
        <v>0.73076923076923073</v>
      </c>
      <c r="F36" s="219">
        <f t="shared" si="8"/>
        <v>0</v>
      </c>
      <c r="G36" s="220">
        <f t="shared" si="6"/>
        <v>0</v>
      </c>
      <c r="H36" s="219">
        <f>(($H$16-$H$15)/($C$16-$C$15)*(C36-$C$15)+$H$15)</f>
        <v>0</v>
      </c>
      <c r="I36" s="219">
        <f>IF(F36&lt;(($H$16-$H$15)/($C$16-$C$15)*(C36-$C$15)+$H$15),F36,(($H$16-$H$15)/($C$16-$C$15)*(C36-$C$15)+$H$15))</f>
        <v>0</v>
      </c>
      <c r="J36" s="221">
        <f t="shared" si="9"/>
        <v>0</v>
      </c>
      <c r="K36" s="220">
        <f t="shared" si="10"/>
        <v>0</v>
      </c>
      <c r="L36" s="221" t="e">
        <f>IF(('ErP Inputs'!$H$19)=(TRUE),IF(AND($C$20&lt;$C$16,$C$20&gt;C$15),IF($C$20=C36,COPPL_Tbiv,IF($C$20&gt;C36,((COPPL_Tbiv-COPPL_a)/($C$20-$C$15)*(C36-$C$20)+COPPL_Tbiv),((COPPL_b-COPPL_Tbiv)/($C$16-$C$20)*(C36-$C$16)+COPPL_b))),((COPPL_b-COPPL_a)/($C$16-$C$15)*(C36-$C$15)+COPPL_a)),((COPPL_b-COPPL_a)/($C$16-$C$15)*(C36-$C$15)+COPPL_a))</f>
        <v>#DIV/0!</v>
      </c>
      <c r="M36" s="220" t="e">
        <f t="shared" si="13"/>
        <v>#DIV/0!</v>
      </c>
      <c r="O36" s="220">
        <f t="shared" si="7"/>
        <v>0</v>
      </c>
      <c r="P36" s="220" t="e">
        <f t="shared" si="14"/>
        <v>#DIV/0!</v>
      </c>
      <c r="Q36" s="217" t="b">
        <f t="shared" si="12"/>
        <v>0</v>
      </c>
      <c r="R36" s="260" t="str">
        <f t="shared" si="11"/>
        <v>N/A</v>
      </c>
    </row>
    <row r="37" spans="2:18" x14ac:dyDescent="0.25">
      <c r="B37" s="36">
        <v>29</v>
      </c>
      <c r="C37" s="36">
        <v>-2</v>
      </c>
      <c r="D37" s="36">
        <f>HLOOKUP($C$3,'Table 37'!$B$3:$F$51,32,FALSE)</f>
        <v>165</v>
      </c>
      <c r="E37" s="219">
        <f t="shared" si="5"/>
        <v>0.69230769230769229</v>
      </c>
      <c r="F37" s="219">
        <f t="shared" si="8"/>
        <v>0</v>
      </c>
      <c r="G37" s="220">
        <f t="shared" si="6"/>
        <v>0</v>
      </c>
      <c r="H37" s="219">
        <f>(($H$16-$H$15)/($C$16-$C$15)*(C37-$C$15)+$H$15)</f>
        <v>0</v>
      </c>
      <c r="I37" s="219">
        <f>IF(F37&lt;(($H$16-$H$15)/($C$16-$C$15)*(C37-$C$15)+$H$15),F37,(($H$16-$H$15)/($C$16-$C$15)*(C37-$C$15)+$H$15))</f>
        <v>0</v>
      </c>
      <c r="J37" s="221">
        <f t="shared" si="9"/>
        <v>0</v>
      </c>
      <c r="K37" s="220">
        <f t="shared" si="10"/>
        <v>0</v>
      </c>
      <c r="L37" s="221" t="e">
        <f>IF(('ErP Inputs'!$H$19)=(TRUE),IF(AND($C$20&lt;$C$16,$C$20&gt;C$15),IF($C$20=C37,COPPL_Tbiv,IF($C$20&gt;C37,((COPPL_Tbiv-COPPL_a)/($C$20-$C$15)*(C37-$C$20)+COPPL_Tbiv),((COPPL_b-COPPL_Tbiv)/($C$16-$C$20)*(C37-$C$16)+COPPL_b))),((COPPL_b-COPPL_a)/($C$16-$C$15)*(C37-$C$15)+COPPL_a)),((COPPL_b-COPPL_a)/($C$16-$C$15)*(C37-$C$15)+COPPL_a))</f>
        <v>#DIV/0!</v>
      </c>
      <c r="M37" s="220" t="e">
        <f t="shared" si="13"/>
        <v>#DIV/0!</v>
      </c>
      <c r="O37" s="220">
        <f t="shared" si="7"/>
        <v>0</v>
      </c>
      <c r="P37" s="220" t="e">
        <f t="shared" si="14"/>
        <v>#DIV/0!</v>
      </c>
      <c r="Q37" s="217" t="b">
        <f t="shared" si="12"/>
        <v>0</v>
      </c>
      <c r="R37" s="260" t="str">
        <f t="shared" si="11"/>
        <v>N/A</v>
      </c>
    </row>
    <row r="38" spans="2:18" x14ac:dyDescent="0.25">
      <c r="B38" s="36">
        <v>30</v>
      </c>
      <c r="C38" s="36">
        <v>-1</v>
      </c>
      <c r="D38" s="36">
        <f>HLOOKUP($C$3,'Table 37'!$B$3:$F$51,33,FALSE)</f>
        <v>173</v>
      </c>
      <c r="E38" s="219">
        <f t="shared" si="5"/>
        <v>0.65384615384615385</v>
      </c>
      <c r="F38" s="219">
        <f t="shared" si="8"/>
        <v>0</v>
      </c>
      <c r="G38" s="220">
        <f t="shared" si="6"/>
        <v>0</v>
      </c>
      <c r="H38" s="219">
        <f>(($H$16-$H$15)/($C$16-$C$15)*(C38-$C$15)+$H$15)</f>
        <v>0</v>
      </c>
      <c r="I38" s="219">
        <f>IF(F38&lt;(($H$16-$H$15)/($C$16-$C$15)*(C38-$C$15)+$H$15),F38,(($H$16-$H$15)/($C$16-$C$15)*(C38-$C$15)+$H$15))</f>
        <v>0</v>
      </c>
      <c r="J38" s="221">
        <f t="shared" si="9"/>
        <v>0</v>
      </c>
      <c r="K38" s="220">
        <f t="shared" si="10"/>
        <v>0</v>
      </c>
      <c r="L38" s="221" t="e">
        <f>IF(('ErP Inputs'!$H$19)=(TRUE),IF(AND($C$20&lt;$C$16,$C$20&gt;C$15),IF($C$20=C38,COPPL_Tbiv,IF($C$20&gt;C38,((COPPL_Tbiv-COPPL_a)/($C$20-$C$15)*(C38-$C$20)+COPPL_Tbiv),((COPPL_b-COPPL_Tbiv)/($C$16-$C$20)*(C38-$C$16)+COPPL_b))),((COPPL_b-COPPL_a)/($C$16-$C$15)*(C38-$C$15)+COPPL_a)),((COPPL_b-COPPL_a)/($C$16-$C$15)*(C38-$C$15)+COPPL_a))</f>
        <v>#DIV/0!</v>
      </c>
      <c r="M38" s="220" t="e">
        <f t="shared" si="13"/>
        <v>#DIV/0!</v>
      </c>
      <c r="O38" s="220">
        <f t="shared" si="7"/>
        <v>0</v>
      </c>
      <c r="P38" s="220" t="e">
        <f t="shared" si="14"/>
        <v>#DIV/0!</v>
      </c>
      <c r="Q38" s="217" t="b">
        <f t="shared" si="12"/>
        <v>0</v>
      </c>
      <c r="R38" s="260" t="str">
        <f t="shared" si="11"/>
        <v>N/A</v>
      </c>
    </row>
    <row r="39" spans="2:18" x14ac:dyDescent="0.25">
      <c r="B39" s="36">
        <v>31</v>
      </c>
      <c r="C39" s="36">
        <v>0</v>
      </c>
      <c r="D39" s="36">
        <f>HLOOKUP($C$3,'Table 37'!$B$3:$F$51,34,FALSE)</f>
        <v>240</v>
      </c>
      <c r="E39" s="219">
        <f t="shared" si="5"/>
        <v>0.61538461538461542</v>
      </c>
      <c r="F39" s="219">
        <f t="shared" si="8"/>
        <v>0</v>
      </c>
      <c r="G39" s="220">
        <f t="shared" si="6"/>
        <v>0</v>
      </c>
      <c r="H39" s="219">
        <f>(($H$16-$H$15)/($C$16-$C$15)*(C39-$C$15)+$H$15)</f>
        <v>0</v>
      </c>
      <c r="I39" s="219">
        <f>IF(F39&lt;(($H$16-$H$15)/($C$16-$C$15)*(C39-$C$15)+$H$15),F39,(($H$16-$H$15)/($C$16-$C$15)*(C39-$C$15)+$H$15))</f>
        <v>0</v>
      </c>
      <c r="J39" s="221">
        <f t="shared" si="9"/>
        <v>0</v>
      </c>
      <c r="K39" s="220">
        <f t="shared" si="10"/>
        <v>0</v>
      </c>
      <c r="L39" s="221" t="e">
        <f>IF(('ErP Inputs'!$H$19)=(TRUE),IF(AND($C$20&lt;$C$16,$C$20&gt;C$15),IF($C$20=C39,COPPL_Tbiv,IF($C$20&gt;C39,((COPPL_Tbiv-COPPL_a)/($C$20-$C$15)*(C39-$C$20)+COPPL_Tbiv),((COPPL_b-COPPL_Tbiv)/($C$16-$C$20)*(C39-$C$16)+COPPL_b))),((COPPL_b-COPPL_a)/($C$16-$C$15)*(C39-$C$15)+COPPL_a)),((COPPL_b-COPPL_a)/($C$16-$C$15)*(C39-$C$15)+COPPL_a))</f>
        <v>#DIV/0!</v>
      </c>
      <c r="M39" s="220" t="e">
        <f t="shared" si="13"/>
        <v>#DIV/0!</v>
      </c>
      <c r="O39" s="220">
        <f t="shared" si="7"/>
        <v>0</v>
      </c>
      <c r="P39" s="220" t="e">
        <f t="shared" si="14"/>
        <v>#DIV/0!</v>
      </c>
      <c r="Q39" s="217" t="b">
        <f t="shared" si="12"/>
        <v>0</v>
      </c>
      <c r="R39" s="260" t="str">
        <f t="shared" si="11"/>
        <v>N/A</v>
      </c>
    </row>
    <row r="40" spans="2:18" x14ac:dyDescent="0.25">
      <c r="B40" s="36">
        <v>32</v>
      </c>
      <c r="C40" s="36">
        <v>1</v>
      </c>
      <c r="D40" s="36">
        <f>HLOOKUP($C$3,'Table 37'!$B$3:$F$51,35,FALSE)</f>
        <v>280</v>
      </c>
      <c r="E40" s="219">
        <f t="shared" si="5"/>
        <v>0.57692307692307687</v>
      </c>
      <c r="F40" s="219">
        <f t="shared" si="8"/>
        <v>0</v>
      </c>
      <c r="G40" s="220">
        <f t="shared" si="6"/>
        <v>0</v>
      </c>
      <c r="H40" s="219">
        <f>(($H$16-$H$15)/($C$16-$C$15)*(C40-$C$15)+$H$15)</f>
        <v>0</v>
      </c>
      <c r="I40" s="219">
        <f>IF(F40&lt;(($H$16-$H$15)/($C$16-$C$15)*(C40-$C$15)+$H$15),F40,(($H$16-$H$15)/($C$16-$C$15)*(C40-$C$15)+$H$15))</f>
        <v>0</v>
      </c>
      <c r="J40" s="221">
        <f t="shared" si="9"/>
        <v>0</v>
      </c>
      <c r="K40" s="220">
        <f t="shared" si="10"/>
        <v>0</v>
      </c>
      <c r="L40" s="221" t="e">
        <f>IF(('ErP Inputs'!$H$19)=(TRUE),IF(AND($C$20&lt;$C$16,$C$20&gt;C$15),IF($C$20=C40,COPPL_Tbiv,IF($C$20&gt;C40,((COPPL_Tbiv-COPPL_a)/($C$20-$C$15)*(C40-$C$20)+COPPL_Tbiv),((COPPL_b-COPPL_Tbiv)/($C$16-$C$20)*(C40-$C$16)+COPPL_b))),((COPPL_b-COPPL_a)/($C$16-$C$15)*(C40-$C$15)+COPPL_a)),((COPPL_b-COPPL_a)/($C$16-$C$15)*(C40-$C$15)+COPPL_a))</f>
        <v>#DIV/0!</v>
      </c>
      <c r="M40" s="220" t="e">
        <f t="shared" si="13"/>
        <v>#DIV/0!</v>
      </c>
      <c r="O40" s="220">
        <f t="shared" si="7"/>
        <v>0</v>
      </c>
      <c r="P40" s="220" t="e">
        <f t="shared" si="14"/>
        <v>#DIV/0!</v>
      </c>
      <c r="Q40" s="217" t="b">
        <f t="shared" si="12"/>
        <v>0</v>
      </c>
      <c r="R40" s="260" t="str">
        <f t="shared" si="11"/>
        <v>N/A</v>
      </c>
    </row>
    <row r="41" spans="2:18" x14ac:dyDescent="0.25">
      <c r="B41" s="36">
        <v>33</v>
      </c>
      <c r="C41" s="36">
        <v>2</v>
      </c>
      <c r="D41" s="36">
        <f>HLOOKUP($C$3,'Table 37'!$B$3:$F$51,36,FALSE)</f>
        <v>320</v>
      </c>
      <c r="E41" s="219">
        <f t="shared" si="5"/>
        <v>0.53846153846153844</v>
      </c>
      <c r="F41" s="219">
        <f t="shared" si="8"/>
        <v>0</v>
      </c>
      <c r="G41" s="220">
        <f t="shared" si="6"/>
        <v>0</v>
      </c>
      <c r="H41" s="157">
        <f>H16</f>
        <v>0</v>
      </c>
      <c r="I41" s="157">
        <f>IF(F41&lt;H16,F41,H16)</f>
        <v>0</v>
      </c>
      <c r="J41" s="221">
        <f t="shared" si="9"/>
        <v>0</v>
      </c>
      <c r="K41" s="220">
        <f t="shared" si="10"/>
        <v>0</v>
      </c>
      <c r="L41" s="244" t="e">
        <f>COPPL_b</f>
        <v>#DIV/0!</v>
      </c>
      <c r="M41" s="220" t="e">
        <f t="shared" si="13"/>
        <v>#DIV/0!</v>
      </c>
      <c r="O41" s="220">
        <f t="shared" si="7"/>
        <v>0</v>
      </c>
      <c r="P41" s="220" t="e">
        <f t="shared" si="14"/>
        <v>#DIV/0!</v>
      </c>
      <c r="Q41" s="217" t="b">
        <f t="shared" si="12"/>
        <v>0</v>
      </c>
      <c r="R41" s="260" t="str">
        <f t="shared" si="11"/>
        <v>N/A</v>
      </c>
    </row>
    <row r="42" spans="2:18" x14ac:dyDescent="0.25">
      <c r="B42" s="36">
        <v>34</v>
      </c>
      <c r="C42" s="36">
        <v>3</v>
      </c>
      <c r="D42" s="36">
        <f>HLOOKUP($C$3,'Table 37'!$B$3:$F$51,37,FALSE)</f>
        <v>357</v>
      </c>
      <c r="E42" s="219">
        <f t="shared" si="5"/>
        <v>0.5</v>
      </c>
      <c r="F42" s="219">
        <f t="shared" si="8"/>
        <v>0</v>
      </c>
      <c r="G42" s="220">
        <f t="shared" si="6"/>
        <v>0</v>
      </c>
      <c r="H42" s="219">
        <f>(($H$17-$H$16)/($C$17-$C$16)*(C42-$C$16)+$H$16)</f>
        <v>0</v>
      </c>
      <c r="I42" s="219">
        <f>IF(F42&lt;(($H$17-$H$16)/($C$17-$C$16)*(C42-$C$16)+$H$16),F42,(($H$17-$H$16)/($C$17-$C$16)*(C42-$C$16)+$H$16))</f>
        <v>0</v>
      </c>
      <c r="J42" s="221">
        <f t="shared" si="9"/>
        <v>0</v>
      </c>
      <c r="K42" s="220">
        <f t="shared" si="10"/>
        <v>0</v>
      </c>
      <c r="L42" s="221" t="e">
        <f>IF(('ErP Inputs'!$H$19)=(TRUE),IF(AND($C$20&lt;$C$17,$C$20&gt;C$16),IF($C$20=C42,COPPL_Tbiv,IF($C$20&gt;C42,((COPPL_Tbiv-COPPL_b)/($C$20-$C$16)*(C42-$C$20)+COPPL_Tbiv),((COPPL_c-COPPL_Tbiv)/($C$17-$C$20)*(C42-$C$17)+COPPL_c))),((COPPL_c-COPPL_b)/($C$17-$C$16)*(C42-$C$16)+COPPL_b)),((COPPL_c-COPPL_b)/($C$17-$C$16)*(C42-$C$16)+COPPL_b))</f>
        <v>#DIV/0!</v>
      </c>
      <c r="M42" s="220" t="e">
        <f t="shared" si="13"/>
        <v>#DIV/0!</v>
      </c>
      <c r="O42" s="220">
        <f t="shared" si="7"/>
        <v>0</v>
      </c>
      <c r="P42" s="220" t="e">
        <f t="shared" si="14"/>
        <v>#DIV/0!</v>
      </c>
      <c r="Q42" s="217" t="b">
        <f t="shared" si="12"/>
        <v>0</v>
      </c>
      <c r="R42" s="260" t="str">
        <f t="shared" si="11"/>
        <v>N/A</v>
      </c>
    </row>
    <row r="43" spans="2:18" x14ac:dyDescent="0.25">
      <c r="B43" s="36">
        <v>35</v>
      </c>
      <c r="C43" s="36">
        <v>4</v>
      </c>
      <c r="D43" s="36">
        <f>HLOOKUP($C$3,'Table 37'!$B$3:$F$51,38,FALSE)</f>
        <v>356</v>
      </c>
      <c r="E43" s="219">
        <f t="shared" si="5"/>
        <v>0.46153846153846156</v>
      </c>
      <c r="F43" s="219">
        <f t="shared" si="8"/>
        <v>0</v>
      </c>
      <c r="G43" s="220">
        <f t="shared" si="6"/>
        <v>0</v>
      </c>
      <c r="H43" s="219">
        <f>(($H$17-$H$16)/($C$17-$C$16)*(C43-$C$16)+$H$16)</f>
        <v>0</v>
      </c>
      <c r="I43" s="219">
        <f>IF(F43&lt;(($H$17-$H$16)/($C$17-$C$16)*(C43-$C$16)+$H$16),F43,(($H$17-$H$16)/($C$17-$C$16)*(C43-$C$16)+$H$16))</f>
        <v>0</v>
      </c>
      <c r="J43" s="221">
        <f t="shared" si="9"/>
        <v>0</v>
      </c>
      <c r="K43" s="220">
        <f t="shared" si="10"/>
        <v>0</v>
      </c>
      <c r="L43" s="221" t="e">
        <f>IF(('ErP Inputs'!$H$19)=(TRUE),IF(AND($C$20&lt;$C$17,$C$20&gt;C$16),IF($C$20=C43,COPPL_Tbiv,IF($C$20&gt;C43,((COPPL_Tbiv-COPPL_b)/($C$20-$C$16)*(C43-$C$20)+COPPL_Tbiv),((COPPL_c-COPPL_Tbiv)/($C$17-$C$20)*(C43-$C$17)+COPPL_c))),((COPPL_c-COPPL_b)/($C$17-$C$16)*(C43-$C$16)+COPPL_b)),((COPPL_c-COPPL_b)/($C$17-$C$16)*(C43-$C$16)+COPPL_b))</f>
        <v>#DIV/0!</v>
      </c>
      <c r="M43" s="220" t="e">
        <f t="shared" si="13"/>
        <v>#DIV/0!</v>
      </c>
      <c r="O43" s="220">
        <f t="shared" si="7"/>
        <v>0</v>
      </c>
      <c r="P43" s="220" t="e">
        <f t="shared" si="14"/>
        <v>#DIV/0!</v>
      </c>
      <c r="Q43" s="217" t="b">
        <f t="shared" si="12"/>
        <v>0</v>
      </c>
      <c r="R43" s="260" t="str">
        <f t="shared" si="11"/>
        <v>N/A</v>
      </c>
    </row>
    <row r="44" spans="2:18" x14ac:dyDescent="0.25">
      <c r="B44" s="36">
        <v>36</v>
      </c>
      <c r="C44" s="36">
        <v>5</v>
      </c>
      <c r="D44" s="36">
        <f>HLOOKUP($C$3,'Table 37'!$B$3:$F$51,39,FALSE)</f>
        <v>303</v>
      </c>
      <c r="E44" s="219">
        <f t="shared" si="5"/>
        <v>0.42307692307692307</v>
      </c>
      <c r="F44" s="219">
        <f t="shared" si="8"/>
        <v>0</v>
      </c>
      <c r="G44" s="220">
        <f t="shared" si="6"/>
        <v>0</v>
      </c>
      <c r="H44" s="219">
        <f>(($H$17-$H$16)/($C$17-$C$16)*(C44-$C$16)+$H$16)</f>
        <v>0</v>
      </c>
      <c r="I44" s="219">
        <f>IF(F44&lt;(($H$17-$H$16)/($C$17-$C$16)*(C44-$C$16)+$H$16),F44,(($H$17-$H$16)/($C$17-$C$16)*(C44-$C$16)+$H$16))</f>
        <v>0</v>
      </c>
      <c r="J44" s="221">
        <f t="shared" si="9"/>
        <v>0</v>
      </c>
      <c r="K44" s="220">
        <f t="shared" si="10"/>
        <v>0</v>
      </c>
      <c r="L44" s="221" t="e">
        <f>IF(('ErP Inputs'!$H$19)=(TRUE),IF(AND($C$20&lt;$C$17,$C$20&gt;C$16),IF($C$20=C44,COPPL_Tbiv,IF($C$20&gt;C44,((COPPL_Tbiv-COPPL_b)/($C$20-$C$16)*(C44-$C$20)+COPPL_Tbiv),((COPPL_c-COPPL_Tbiv)/($C$17-$C$20)*(C44-$C$17)+COPPL_c))),((COPPL_c-COPPL_b)/($C$17-$C$16)*(C44-$C$16)+COPPL_b)),((COPPL_c-COPPL_b)/($C$17-$C$16)*(C44-$C$16)+COPPL_b))</f>
        <v>#DIV/0!</v>
      </c>
      <c r="M44" s="220" t="e">
        <f t="shared" si="13"/>
        <v>#DIV/0!</v>
      </c>
      <c r="O44" s="220">
        <f t="shared" si="7"/>
        <v>0</v>
      </c>
      <c r="P44" s="220" t="e">
        <f t="shared" si="14"/>
        <v>#DIV/0!</v>
      </c>
      <c r="Q44" s="217" t="b">
        <f t="shared" si="12"/>
        <v>0</v>
      </c>
      <c r="R44" s="260" t="str">
        <f t="shared" si="11"/>
        <v>N/A</v>
      </c>
    </row>
    <row r="45" spans="2:18" x14ac:dyDescent="0.25">
      <c r="B45" s="36">
        <v>37</v>
      </c>
      <c r="C45" s="36">
        <v>6</v>
      </c>
      <c r="D45" s="36">
        <f>HLOOKUP($C$3,'Table 37'!$B$3:$F$51,40,FALSE)</f>
        <v>330</v>
      </c>
      <c r="E45" s="219">
        <f t="shared" si="5"/>
        <v>0.38461538461538464</v>
      </c>
      <c r="F45" s="219">
        <f t="shared" si="8"/>
        <v>0</v>
      </c>
      <c r="G45" s="220">
        <f t="shared" si="6"/>
        <v>0</v>
      </c>
      <c r="H45" s="219">
        <f>(($H$17-$H$16)/($C$17-$C$16)*(C45-$C$16)+$H$16)</f>
        <v>0</v>
      </c>
      <c r="I45" s="219">
        <f>IF(F45&lt;(($H$17-$H$16)/($C$17-$C$16)*(C45-$C$16)+$H$16),F45,(($H$17-$H$16)/($C$17-$C$16)*(C45-$C$16)+$H$16))</f>
        <v>0</v>
      </c>
      <c r="J45" s="221">
        <f t="shared" si="9"/>
        <v>0</v>
      </c>
      <c r="K45" s="220">
        <f t="shared" si="10"/>
        <v>0</v>
      </c>
      <c r="L45" s="221" t="e">
        <f>IF(('ErP Inputs'!$H$19)=(TRUE),IF(AND($C$20&lt;$C$17,$C$20&gt;C$16),IF($C$20=C45,COPPL_Tbiv,IF($C$20&gt;C45,((COPPL_Tbiv-COPPL_b)/($C$20-$C$16)*(C45-$C$20)+COPPL_Tbiv),((COPPL_c-COPPL_Tbiv)/($C$17-$C$20)*(C45-$C$17)+COPPL_c))),((COPPL_c-COPPL_b)/($C$17-$C$16)*(C45-$C$16)+COPPL_b)),((COPPL_c-COPPL_b)/($C$17-$C$16)*(C45-$C$16)+COPPL_b))</f>
        <v>#DIV/0!</v>
      </c>
      <c r="M45" s="220" t="e">
        <f t="shared" si="13"/>
        <v>#DIV/0!</v>
      </c>
      <c r="O45" s="220">
        <f t="shared" si="7"/>
        <v>0</v>
      </c>
      <c r="P45" s="220" t="e">
        <f t="shared" si="14"/>
        <v>#DIV/0!</v>
      </c>
      <c r="Q45" s="217" t="b">
        <f t="shared" si="12"/>
        <v>0</v>
      </c>
      <c r="R45" s="260" t="str">
        <f t="shared" si="11"/>
        <v>N/A</v>
      </c>
    </row>
    <row r="46" spans="2:18" x14ac:dyDescent="0.25">
      <c r="B46" s="36">
        <v>38</v>
      </c>
      <c r="C46" s="36">
        <v>7</v>
      </c>
      <c r="D46" s="36">
        <f>HLOOKUP($C$3,'Table 37'!$B$3:$F$51,41,FALSE)</f>
        <v>326</v>
      </c>
      <c r="E46" s="219">
        <f t="shared" si="5"/>
        <v>0.34615384615384615</v>
      </c>
      <c r="F46" s="219">
        <f t="shared" si="8"/>
        <v>0</v>
      </c>
      <c r="G46" s="220">
        <f t="shared" si="6"/>
        <v>0</v>
      </c>
      <c r="H46" s="157">
        <f>H17</f>
        <v>0</v>
      </c>
      <c r="I46" s="157">
        <f>IF(F46&lt;H17,F46,H17)</f>
        <v>0</v>
      </c>
      <c r="J46" s="221">
        <f t="shared" si="9"/>
        <v>0</v>
      </c>
      <c r="K46" s="220">
        <f t="shared" si="10"/>
        <v>0</v>
      </c>
      <c r="L46" s="244" t="e">
        <f>COPPL_c</f>
        <v>#DIV/0!</v>
      </c>
      <c r="M46" s="220" t="e">
        <f t="shared" si="13"/>
        <v>#DIV/0!</v>
      </c>
      <c r="O46" s="220">
        <f t="shared" si="7"/>
        <v>0</v>
      </c>
      <c r="P46" s="220" t="e">
        <f t="shared" si="14"/>
        <v>#DIV/0!</v>
      </c>
      <c r="Q46" s="217" t="b">
        <f t="shared" si="12"/>
        <v>0</v>
      </c>
      <c r="R46" s="260" t="str">
        <f t="shared" si="11"/>
        <v>N/A</v>
      </c>
    </row>
    <row r="47" spans="2:18" x14ac:dyDescent="0.25">
      <c r="B47" s="36">
        <v>39</v>
      </c>
      <c r="C47" s="36">
        <v>8</v>
      </c>
      <c r="D47" s="36">
        <f>HLOOKUP($C$3,'Table 37'!$B$3:$F$51,42,FALSE)</f>
        <v>348</v>
      </c>
      <c r="E47" s="219">
        <f t="shared" si="5"/>
        <v>0.30769230769230771</v>
      </c>
      <c r="F47" s="219">
        <f t="shared" si="8"/>
        <v>0</v>
      </c>
      <c r="G47" s="220">
        <f t="shared" si="6"/>
        <v>0</v>
      </c>
      <c r="H47" s="219">
        <f>(($H$18-$H$17)/($C$18-$C$17)*(C47-$C$17)+$H$17)</f>
        <v>0</v>
      </c>
      <c r="I47" s="219">
        <f>IF(F47&lt;(($H$18-$H$17)/($C$18-$C$17)*(C47-$C$17)+$H$17),F47,((($H$18-$H$17)/($C$18-$C$17)*(C47-$C$17)+$H$17)))</f>
        <v>0</v>
      </c>
      <c r="J47" s="221">
        <f t="shared" si="9"/>
        <v>0</v>
      </c>
      <c r="K47" s="220">
        <f t="shared" si="10"/>
        <v>0</v>
      </c>
      <c r="L47" s="221" t="e">
        <f>IF(('ErP Inputs'!$H$19)=(TRUE),IF(AND($C$20&lt;$C$18,$C$20&gt;C$17),IF($C$20=C47,COPPL_Tbiv,IF($C$20&gt;C47,((COPPL_Tbiv-COPPL_c)/($C$20-$C$17)*(C47-$C$20)+COPPL_Tbiv),((COPPL_d-COPPL_Tbiv)/($C$18-$C$20)*(C47-$C$18)+COPPL_d))),((COPPL_d-COPPL_c)/($C$18-$C$17)*(C47-$C$17)+COPPL_c)),((COPPL_d-COPPL_c)/($C$18-$C$17)*(C47-$C$17)+COPPL_c))</f>
        <v>#DIV/0!</v>
      </c>
      <c r="M47" s="220" t="e">
        <f t="shared" si="13"/>
        <v>#DIV/0!</v>
      </c>
      <c r="O47" s="220">
        <f t="shared" si="7"/>
        <v>0</v>
      </c>
      <c r="P47" s="220" t="e">
        <f t="shared" si="14"/>
        <v>#DIV/0!</v>
      </c>
      <c r="Q47" s="217" t="b">
        <f t="shared" si="12"/>
        <v>0</v>
      </c>
      <c r="R47" s="260" t="str">
        <f t="shared" si="11"/>
        <v>N/A</v>
      </c>
    </row>
    <row r="48" spans="2:18" x14ac:dyDescent="0.25">
      <c r="B48" s="36">
        <v>40</v>
      </c>
      <c r="C48" s="36">
        <v>9</v>
      </c>
      <c r="D48" s="36">
        <f>HLOOKUP($C$3,'Table 37'!$B$3:$F$51,43,FALSE)</f>
        <v>335</v>
      </c>
      <c r="E48" s="219">
        <f t="shared" si="5"/>
        <v>0.26923076923076922</v>
      </c>
      <c r="F48" s="219">
        <f t="shared" si="8"/>
        <v>0</v>
      </c>
      <c r="G48" s="220">
        <f t="shared" si="6"/>
        <v>0</v>
      </c>
      <c r="H48" s="219">
        <f>(($H$18-$H$17)/($C$18-$C$17)*(C48-$C$17)+$H$17)</f>
        <v>0</v>
      </c>
      <c r="I48" s="219">
        <f>IF(F48&lt;(($H$18-$H$17)/($C$18-$C$17)*(C48-$C$17)+$H$17),F48,((($H$18-$H$17)/($C$18-$C$17)*(C48-$C$17)+$H$17)))</f>
        <v>0</v>
      </c>
      <c r="J48" s="221">
        <f t="shared" si="9"/>
        <v>0</v>
      </c>
      <c r="K48" s="220">
        <f t="shared" si="10"/>
        <v>0</v>
      </c>
      <c r="L48" s="221" t="e">
        <f>IF(('ErP Inputs'!$H$19)=(TRUE),IF(AND($C$20&lt;$C$18,$C$20&gt;C$17),IF($C$20=C48,COPPL_Tbiv,IF($C$20&gt;C48,((COPPL_Tbiv-COPPL_c)/($C$20-$C$17)*(C48-$C$20)+COPPL_Tbiv),((COPPL_d-COPPL_Tbiv)/($C$18-$C$20)*(C48-$C$18)+COPPL_d))),((COPPL_d-COPPL_c)/($C$18-$C$17)*(C48-$C$17)+COPPL_c)),((COPPL_d-COPPL_c)/($C$18-$C$17)*(C48-$C$17)+COPPL_c))</f>
        <v>#DIV/0!</v>
      </c>
      <c r="M48" s="220" t="e">
        <f t="shared" si="13"/>
        <v>#DIV/0!</v>
      </c>
      <c r="O48" s="220">
        <f t="shared" si="7"/>
        <v>0</v>
      </c>
      <c r="P48" s="220" t="e">
        <f t="shared" si="14"/>
        <v>#DIV/0!</v>
      </c>
      <c r="Q48" s="217" t="b">
        <f t="shared" si="12"/>
        <v>0</v>
      </c>
      <c r="R48" s="260" t="str">
        <f t="shared" si="11"/>
        <v>N/A</v>
      </c>
    </row>
    <row r="49" spans="2:23" x14ac:dyDescent="0.25">
      <c r="B49" s="36">
        <v>41</v>
      </c>
      <c r="C49" s="36">
        <v>10</v>
      </c>
      <c r="D49" s="36">
        <f>HLOOKUP($C$3,'Table 37'!$B$3:$F$51,44,FALSE)</f>
        <v>315</v>
      </c>
      <c r="E49" s="219">
        <f t="shared" si="5"/>
        <v>0.23076923076923078</v>
      </c>
      <c r="F49" s="219">
        <f t="shared" si="8"/>
        <v>0</v>
      </c>
      <c r="G49" s="220">
        <f t="shared" si="6"/>
        <v>0</v>
      </c>
      <c r="H49" s="219">
        <f>(($H$18-$H$17)/($C$18-$C$17)*(C49-$C$17)+$H$17)</f>
        <v>0</v>
      </c>
      <c r="I49" s="219">
        <f>IF(F49&lt;(($H$18-$H$17)/($C$18-$C$17)*(C49-$C$17)+$H$17),F49,((($H$18-$H$17)/($C$18-$C$17)*(C49-$C$17)+$H$17)))</f>
        <v>0</v>
      </c>
      <c r="J49" s="221">
        <f t="shared" si="9"/>
        <v>0</v>
      </c>
      <c r="K49" s="220">
        <f t="shared" si="10"/>
        <v>0</v>
      </c>
      <c r="L49" s="221" t="e">
        <f>IF(('ErP Inputs'!$H$19)=(TRUE),IF(AND($C$20&lt;$C$18,$C$20&gt;C$17),IF($C$20=C49,COPPL_Tbiv,IF($C$20&gt;C49,((COPPL_Tbiv-COPPL_c)/($C$20-$C$17)*(C49-$C$20)+COPPL_Tbiv),((COPPL_d-COPPL_Tbiv)/($C$18-$C$20)*(C49-$C$18)+COPPL_d))),((COPPL_d-COPPL_c)/($C$18-$C$17)*(C49-$C$17)+COPPL_c)),((COPPL_d-COPPL_c)/($C$18-$C$17)*(C49-$C$17)+COPPL_c))</f>
        <v>#DIV/0!</v>
      </c>
      <c r="M49" s="220" t="e">
        <f t="shared" si="13"/>
        <v>#DIV/0!</v>
      </c>
      <c r="O49" s="220">
        <f t="shared" si="7"/>
        <v>0</v>
      </c>
      <c r="P49" s="220" t="e">
        <f t="shared" si="14"/>
        <v>#DIV/0!</v>
      </c>
      <c r="Q49" s="217" t="b">
        <f t="shared" si="12"/>
        <v>0</v>
      </c>
      <c r="R49" s="260" t="str">
        <f t="shared" si="11"/>
        <v>N/A</v>
      </c>
    </row>
    <row r="50" spans="2:23" x14ac:dyDescent="0.25">
      <c r="B50" s="36">
        <v>42</v>
      </c>
      <c r="C50" s="36">
        <v>11</v>
      </c>
      <c r="D50" s="36">
        <f>HLOOKUP($C$3,'Table 37'!$B$3:$F$51,45,FALSE)</f>
        <v>215</v>
      </c>
      <c r="E50" s="219">
        <f t="shared" si="5"/>
        <v>0.19230769230769232</v>
      </c>
      <c r="F50" s="219">
        <f t="shared" si="8"/>
        <v>0</v>
      </c>
      <c r="G50" s="220">
        <f t="shared" si="6"/>
        <v>0</v>
      </c>
      <c r="H50" s="219">
        <f>(($H$18-$H$17)/($C$18-$C$17)*(C50-$C$17)+$H$17)</f>
        <v>0</v>
      </c>
      <c r="I50" s="219">
        <f>IF(F50&lt;(($H$18-$H$17)/($C$18-$C$17)*(C50-$C$17)+$H$17),F50,((($H$18-$H$17)/($C$18-$C$17)*(C50-$C$17)+$H$17)))</f>
        <v>0</v>
      </c>
      <c r="J50" s="221">
        <f t="shared" si="9"/>
        <v>0</v>
      </c>
      <c r="K50" s="220">
        <f t="shared" si="10"/>
        <v>0</v>
      </c>
      <c r="L50" s="221" t="e">
        <f>IF(('ErP Inputs'!$H$19)=(TRUE),IF(AND($C$20&lt;$C$18,$C$20&gt;C$17),IF($C$20=C50,COPPL_Tbiv,IF($C$20&gt;C50,((COPPL_Tbiv-COPPL_c)/($C$20-$C$17)*(C50-$C$20)+COPPL_Tbiv),((COPPL_d-COPPL_Tbiv)/($C$18-$C$20)*(C50-$C$18)+COPPL_d))),((COPPL_d-COPPL_c)/($C$18-$C$17)*(C50-$C$17)+COPPL_c)),((COPPL_d-COPPL_c)/($C$18-$C$17)*(C50-$C$17)+COPPL_c))</f>
        <v>#DIV/0!</v>
      </c>
      <c r="M50" s="220" t="e">
        <f t="shared" si="13"/>
        <v>#DIV/0!</v>
      </c>
      <c r="O50" s="220">
        <f t="shared" si="7"/>
        <v>0</v>
      </c>
      <c r="P50" s="220" t="e">
        <f t="shared" si="14"/>
        <v>#DIV/0!</v>
      </c>
      <c r="Q50" s="217" t="b">
        <f t="shared" si="12"/>
        <v>0</v>
      </c>
      <c r="R50" s="260" t="str">
        <f t="shared" si="11"/>
        <v>N/A</v>
      </c>
    </row>
    <row r="51" spans="2:23" x14ac:dyDescent="0.25">
      <c r="B51" s="36">
        <v>43</v>
      </c>
      <c r="C51" s="36">
        <v>12</v>
      </c>
      <c r="D51" s="36">
        <f>HLOOKUP($C$3,'Table 37'!$B$3:$F$51,46,FALSE)</f>
        <v>169</v>
      </c>
      <c r="E51" s="219">
        <f t="shared" si="5"/>
        <v>0.15384615384615385</v>
      </c>
      <c r="F51" s="219">
        <f t="shared" si="8"/>
        <v>0</v>
      </c>
      <c r="G51" s="220">
        <f t="shared" si="6"/>
        <v>0</v>
      </c>
      <c r="H51" s="157">
        <f>H18</f>
        <v>0</v>
      </c>
      <c r="I51" s="157">
        <f>IF(F51&lt;H18,F51,H18)</f>
        <v>0</v>
      </c>
      <c r="J51" s="221">
        <f t="shared" si="9"/>
        <v>0</v>
      </c>
      <c r="K51" s="220">
        <f t="shared" si="10"/>
        <v>0</v>
      </c>
      <c r="L51" s="244" t="e">
        <f>COPPL_d</f>
        <v>#DIV/0!</v>
      </c>
      <c r="M51" s="220" t="e">
        <f t="shared" si="13"/>
        <v>#DIV/0!</v>
      </c>
      <c r="O51" s="220">
        <f t="shared" si="7"/>
        <v>0</v>
      </c>
      <c r="P51" s="220" t="e">
        <f t="shared" si="14"/>
        <v>#DIV/0!</v>
      </c>
      <c r="Q51" s="217" t="b">
        <f t="shared" si="12"/>
        <v>0</v>
      </c>
      <c r="R51" s="260" t="str">
        <f t="shared" si="11"/>
        <v>N/A</v>
      </c>
    </row>
    <row r="52" spans="2:23" x14ac:dyDescent="0.25">
      <c r="B52" s="36">
        <v>44</v>
      </c>
      <c r="C52" s="36">
        <v>13</v>
      </c>
      <c r="D52" s="36">
        <f>HLOOKUP($C$3,'Table 37'!$B$3:$F$51,47,FALSE)</f>
        <v>151</v>
      </c>
      <c r="E52" s="219">
        <f t="shared" si="5"/>
        <v>0.11538461538461539</v>
      </c>
      <c r="F52" s="219">
        <f t="shared" si="8"/>
        <v>0</v>
      </c>
      <c r="G52" s="220">
        <f t="shared" si="6"/>
        <v>0</v>
      </c>
      <c r="H52" s="219">
        <f>(($H$18-$H$17)/($C$18-$C$17)*(C52-$C$17)+$H$17)</f>
        <v>0</v>
      </c>
      <c r="I52" s="219">
        <f>IF(F52&lt;(($H$18-$H$17)/($C$18-$C$17)*(C52-$C$17)+$H$17),F52,((($H$18-$H$17)/($C$18-$C$17)*(C52-$C$17)+$H$17)))</f>
        <v>0</v>
      </c>
      <c r="J52" s="221">
        <f t="shared" si="9"/>
        <v>0</v>
      </c>
      <c r="K52" s="220">
        <f t="shared" si="10"/>
        <v>0</v>
      </c>
      <c r="L52" s="221" t="e">
        <f>IF(('ErP Inputs'!$H$19)=(TRUE),IF(AND($C$20=$C$54,$C$20&gt;C$18),IF($C$20=C52,COPPL_Tbiv,IF($C$20&gt;C52,((COPPL_Tbiv-COPPL_d)/($C$20-$C$18)*(C52-$C$20)+COPPL_Tbiv),(($L$54-COPPL_Tbiv)/($C$54-$C$20)*(C52-$C$54)+$L$54))),((COPPL_d-COPPL_c)/($C$18-$C$17)*(C52-$C$17)+COPPL_c)),((COPPL_d-COPPL_c)/($C$18-$C$17)*(C52-$C$17)+COPPL_c))</f>
        <v>#DIV/0!</v>
      </c>
      <c r="M52" s="220" t="e">
        <f t="shared" si="13"/>
        <v>#DIV/0!</v>
      </c>
      <c r="O52" s="220">
        <f t="shared" si="7"/>
        <v>0</v>
      </c>
      <c r="P52" s="220" t="e">
        <f t="shared" si="14"/>
        <v>#DIV/0!</v>
      </c>
      <c r="Q52" s="217" t="b">
        <f t="shared" si="12"/>
        <v>0</v>
      </c>
      <c r="R52" s="260" t="str">
        <f t="shared" si="11"/>
        <v>N/A</v>
      </c>
    </row>
    <row r="53" spans="2:23" x14ac:dyDescent="0.25">
      <c r="B53" s="36">
        <v>45</v>
      </c>
      <c r="C53" s="36">
        <v>14</v>
      </c>
      <c r="D53" s="36">
        <f>HLOOKUP($C$3,'Table 37'!$B$3:$F$51,48,FALSE)</f>
        <v>105</v>
      </c>
      <c r="E53" s="219">
        <f t="shared" si="5"/>
        <v>7.6923076923076927E-2</v>
      </c>
      <c r="F53" s="219">
        <f t="shared" si="8"/>
        <v>0</v>
      </c>
      <c r="G53" s="220">
        <f t="shared" si="6"/>
        <v>0</v>
      </c>
      <c r="H53" s="219">
        <f>(($H$18-$H$17)/($C$18-$C$17)*(C53-$C$17)+$H$17)</f>
        <v>0</v>
      </c>
      <c r="I53" s="219">
        <f>IF(F53&lt;(($H$18-$H$17)/($C$18-$C$17)*(C53-$C$17)+$H$17),F53,((($H$18-$H$17)/($C$18-$C$17)*(C53-$C$17)+$H$17)))</f>
        <v>0</v>
      </c>
      <c r="J53" s="221">
        <f t="shared" si="9"/>
        <v>0</v>
      </c>
      <c r="K53" s="220">
        <f t="shared" si="10"/>
        <v>0</v>
      </c>
      <c r="L53" s="221" t="e">
        <f>IF(('ErP Inputs'!$H$19)=(TRUE),IF(AND($C$20=$C$54,$C$20&gt;C$18),IF($C$20=C53,COPPL_Tbiv,IF($C$20&gt;C53,((COPPL_Tbiv-COPPL_d)/($C$20-$C$18)*(C53-$C$20)+COPPL_Tbiv),(($L$54-COPPL_Tbiv)/($C$54-$C$20)*(C53-$C$54)+$L$54))),((COPPL_d-COPPL_c)/($C$18-$C$17)*(C53-$C$17)+COPPL_c)),((COPPL_d-COPPL_c)/($C$18-$C$17)*(C53-$C$17)+COPPL_c))</f>
        <v>#DIV/0!</v>
      </c>
      <c r="M53" s="220" t="e">
        <f t="shared" si="13"/>
        <v>#DIV/0!</v>
      </c>
      <c r="O53" s="220">
        <f t="shared" si="7"/>
        <v>0</v>
      </c>
      <c r="P53" s="220" t="e">
        <f t="shared" si="14"/>
        <v>#DIV/0!</v>
      </c>
      <c r="Q53" s="217" t="b">
        <f t="shared" si="12"/>
        <v>0</v>
      </c>
      <c r="R53" s="260" t="str">
        <f t="shared" si="11"/>
        <v>N/A</v>
      </c>
    </row>
    <row r="54" spans="2:23" x14ac:dyDescent="0.25">
      <c r="B54" s="36">
        <v>46</v>
      </c>
      <c r="C54" s="36">
        <v>15</v>
      </c>
      <c r="D54" s="36">
        <f>HLOOKUP($C$3,'Table 37'!$B$3:$F$51,49,FALSE)</f>
        <v>74</v>
      </c>
      <c r="E54" s="219">
        <f t="shared" si="5"/>
        <v>3.8461538461538464E-2</v>
      </c>
      <c r="F54" s="219">
        <f t="shared" si="8"/>
        <v>0</v>
      </c>
      <c r="G54" s="220">
        <f t="shared" si="6"/>
        <v>0</v>
      </c>
      <c r="H54" s="219">
        <f>(($H$18-$H$17)/($C$18-$C$17)*(C54-$C$17)+$H$17)</f>
        <v>0</v>
      </c>
      <c r="I54" s="219">
        <f>IF(F54&lt;(($H$18-$H$17)/($C$18-$C$17)*(C54-$C$17)+$H$17),F54,((($H$18-$H$17)/($C$18-$C$17)*(C54-$C$17)+$H$17)))</f>
        <v>0</v>
      </c>
      <c r="J54" s="221">
        <f t="shared" si="9"/>
        <v>0</v>
      </c>
      <c r="K54" s="220">
        <f t="shared" si="10"/>
        <v>0</v>
      </c>
      <c r="L54" s="221" t="e">
        <f>((COPPL_d-COPPL_c)/($C$18-$C$17)*(C54-$C$17)+COPPL_c)</f>
        <v>#DIV/0!</v>
      </c>
      <c r="M54" s="220" t="e">
        <f t="shared" si="13"/>
        <v>#DIV/0!</v>
      </c>
      <c r="O54" s="220">
        <f t="shared" si="7"/>
        <v>0</v>
      </c>
      <c r="P54" s="220" t="e">
        <f t="shared" si="14"/>
        <v>#DIV/0!</v>
      </c>
      <c r="Q54" s="217" t="b">
        <f t="shared" si="12"/>
        <v>0</v>
      </c>
      <c r="R54" s="260" t="str">
        <f t="shared" si="11"/>
        <v>N/A</v>
      </c>
    </row>
    <row r="55" spans="2:23" ht="13.5" thickBot="1" x14ac:dyDescent="0.3">
      <c r="D55" s="36">
        <f>SUM(D29:D54)</f>
        <v>4910</v>
      </c>
      <c r="G55" s="220">
        <f>SUM(G29:G54)</f>
        <v>0</v>
      </c>
      <c r="K55" s="220" t="e">
        <f>SUM(K29:K54)</f>
        <v>#DIV/0!</v>
      </c>
      <c r="M55" s="261" t="e">
        <f>SUM(M29:M54)</f>
        <v>#DIV/0!</v>
      </c>
      <c r="O55" s="261">
        <f>SUM(O29:O54)</f>
        <v>0</v>
      </c>
      <c r="P55" s="261" t="e">
        <f>SUM(P29:P54)</f>
        <v>#DIV/0!</v>
      </c>
      <c r="Q55" s="259"/>
      <c r="R55" s="259"/>
    </row>
    <row r="56" spans="2:23" ht="15" thickBot="1" x14ac:dyDescent="0.3">
      <c r="L56" s="234" t="s">
        <v>194</v>
      </c>
      <c r="M56" s="231" t="str">
        <f>IF('ErP Inputs'!E8="Low Temperature Heat Pump","N/A",G55/M55)</f>
        <v>N/A</v>
      </c>
      <c r="O56" s="234" t="s">
        <v>195</v>
      </c>
      <c r="P56" s="231" t="str">
        <f>IF('ErP Inputs'!E8="Low Temperature Heat Pump","N/A",O55/P55)</f>
        <v>N/A</v>
      </c>
    </row>
    <row r="58" spans="2:23" x14ac:dyDescent="0.25">
      <c r="T58" s="158"/>
      <c r="U58" s="158"/>
      <c r="V58" s="158"/>
      <c r="W58" s="158"/>
    </row>
  </sheetData>
  <mergeCells count="8">
    <mergeCell ref="B2:D2"/>
    <mergeCell ref="C10:D10"/>
    <mergeCell ref="B13:E13"/>
    <mergeCell ref="Q6:Q7"/>
    <mergeCell ref="H27:I27"/>
    <mergeCell ref="B21:M21"/>
    <mergeCell ref="B22:M22"/>
    <mergeCell ref="B23:M23"/>
  </mergeCells>
  <conditionalFormatting sqref="O15">
    <cfRule type="colorScale" priority="2">
      <colorScale>
        <cfvo type="min"/>
        <cfvo type="percentile" val="50"/>
        <cfvo type="max"/>
        <color rgb="FFF8696B"/>
        <color rgb="FFFFEB84"/>
        <color rgb="FF63BE7B"/>
      </colorScale>
    </cfRule>
  </conditionalFormatting>
  <conditionalFormatting sqref="O15:P15">
    <cfRule type="colorScale" priority="3">
      <colorScale>
        <cfvo type="num" val="30"/>
        <cfvo type="num" val="80"/>
        <cfvo type="num" val="150"/>
        <color rgb="FFF8696B"/>
        <color rgb="FFFFEB84"/>
        <color rgb="FF63BE7B"/>
      </colorScale>
    </cfRule>
  </conditionalFormatting>
  <conditionalFormatting sqref="P17">
    <cfRule type="colorScale" priority="1">
      <colorScale>
        <cfvo type="num" val="30"/>
        <cfvo type="percentile" val="60"/>
        <cfvo type="num" val="150"/>
        <color rgb="FFF8696B"/>
        <color rgb="FFFFEB84"/>
        <color rgb="FF63BE7B"/>
      </colorScale>
    </cfRule>
  </conditionalFormatting>
  <dataValidations disablePrompts="1" count="1">
    <dataValidation type="list" allowBlank="1" showInputMessage="1" showErrorMessage="1" sqref="C11" xr:uid="{00000000-0002-0000-0400-000000000000}">
      <formula1>$G$8:$G$10</formula1>
    </dataValidation>
  </dataValidations>
  <printOptions headings="1"/>
  <pageMargins left="0.25" right="0.25" top="0.75" bottom="0.75" header="0.3" footer="0.3"/>
  <pageSetup paperSize="9" scale="30"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X58"/>
  <sheetViews>
    <sheetView zoomScale="90" zoomScaleNormal="90" workbookViewId="0">
      <selection activeCell="C21" sqref="C21:N23"/>
    </sheetView>
  </sheetViews>
  <sheetFormatPr defaultColWidth="9.140625" defaultRowHeight="12.75" x14ac:dyDescent="0.25"/>
  <cols>
    <col min="1" max="1" width="2.85546875" style="158" customWidth="1"/>
    <col min="2" max="2" width="3.85546875" style="158" customWidth="1"/>
    <col min="3" max="3" width="30.42578125" style="158" customWidth="1"/>
    <col min="4" max="4" width="16.85546875" style="158" customWidth="1"/>
    <col min="5" max="5" width="16" style="158" bestFit="1" customWidth="1"/>
    <col min="6" max="6" width="18.7109375" style="158" bestFit="1" customWidth="1"/>
    <col min="7" max="7" width="11.5703125" style="158" customWidth="1"/>
    <col min="8" max="8" width="14.42578125" style="158" customWidth="1"/>
    <col min="9" max="9" width="23.42578125" style="158" customWidth="1"/>
    <col min="10" max="10" width="19.5703125" style="158" bestFit="1" customWidth="1"/>
    <col min="11" max="11" width="26" style="158" bestFit="1" customWidth="1"/>
    <col min="12" max="12" width="18.42578125" style="158" customWidth="1"/>
    <col min="13" max="13" width="17.140625" style="158" bestFit="1" customWidth="1"/>
    <col min="14" max="14" width="36.5703125" style="158" bestFit="1" customWidth="1"/>
    <col min="15" max="15" width="4" style="158" customWidth="1"/>
    <col min="16" max="16" width="54.5703125" style="158" bestFit="1" customWidth="1"/>
    <col min="17" max="17" width="26.140625" style="158" bestFit="1" customWidth="1"/>
    <col min="18" max="19" width="9.42578125" style="207" bestFit="1" customWidth="1"/>
    <col min="20" max="20" width="24.42578125" style="158" customWidth="1"/>
    <col min="21" max="21" width="24.140625" style="207" customWidth="1"/>
    <col min="22" max="22" width="25.42578125" style="207" bestFit="1" customWidth="1"/>
    <col min="23" max="24" width="24.140625" style="207" customWidth="1"/>
    <col min="25" max="25" width="8.42578125" style="158" customWidth="1"/>
    <col min="26" max="16384" width="9.140625" style="158"/>
  </cols>
  <sheetData>
    <row r="1" spans="1:24" ht="15" customHeight="1" x14ac:dyDescent="0.25">
      <c r="D1" s="215"/>
    </row>
    <row r="2" spans="1:24" x14ac:dyDescent="0.25">
      <c r="C2" s="266" t="s">
        <v>75</v>
      </c>
      <c r="D2" s="266"/>
      <c r="E2" s="266"/>
      <c r="J2" s="77" t="s">
        <v>203</v>
      </c>
    </row>
    <row r="3" spans="1:24" ht="15.75" x14ac:dyDescent="0.25">
      <c r="A3" s="208"/>
      <c r="C3" s="43" t="s">
        <v>23</v>
      </c>
      <c r="D3" s="36" t="s">
        <v>9</v>
      </c>
      <c r="E3" s="204"/>
      <c r="J3" s="77" t="s">
        <v>98</v>
      </c>
      <c r="K3" s="207"/>
      <c r="L3" s="207"/>
      <c r="M3" s="207"/>
      <c r="P3" s="43" t="s">
        <v>173</v>
      </c>
      <c r="Q3" s="228">
        <f>'ErP Inputs'!$D$46</f>
        <v>0</v>
      </c>
      <c r="R3" s="40" t="s">
        <v>20</v>
      </c>
      <c r="U3" s="158"/>
      <c r="V3" s="158"/>
      <c r="W3" s="158"/>
      <c r="X3" s="158"/>
    </row>
    <row r="4" spans="1:24" ht="15.75" x14ac:dyDescent="0.25">
      <c r="A4" s="208"/>
      <c r="C4" s="43" t="s">
        <v>19</v>
      </c>
      <c r="D4" s="36">
        <v>-10</v>
      </c>
      <c r="E4" s="40" t="s">
        <v>162</v>
      </c>
      <c r="J4" s="105" t="s">
        <v>50</v>
      </c>
      <c r="K4" s="105" t="s">
        <v>190</v>
      </c>
      <c r="L4" s="105" t="s">
        <v>191</v>
      </c>
      <c r="M4" s="105" t="s">
        <v>192</v>
      </c>
      <c r="N4" s="105" t="s">
        <v>193</v>
      </c>
      <c r="P4" s="43" t="s">
        <v>174</v>
      </c>
      <c r="Q4" s="228">
        <f>'ErP Inputs'!$D$47</f>
        <v>0</v>
      </c>
      <c r="R4" s="40" t="s">
        <v>20</v>
      </c>
      <c r="U4" s="158"/>
      <c r="V4" s="158"/>
      <c r="W4" s="158"/>
      <c r="X4" s="158"/>
    </row>
    <row r="5" spans="1:24" ht="15.75" x14ac:dyDescent="0.25">
      <c r="A5" s="208"/>
      <c r="C5" s="43" t="s">
        <v>24</v>
      </c>
      <c r="D5" s="191">
        <f>'ErP Inputs'!G24</f>
        <v>0</v>
      </c>
      <c r="E5" s="40" t="s">
        <v>20</v>
      </c>
      <c r="I5" s="43" t="s">
        <v>49</v>
      </c>
      <c r="J5" s="41">
        <f>IF('ErP Inputs'!E4="Air to Air",1400,2066)</f>
        <v>1400</v>
      </c>
      <c r="K5" s="36">
        <f>IF('ErP Inputs'!E4="Air to Air",179,178)</f>
        <v>179</v>
      </c>
      <c r="L5" s="36">
        <v>0</v>
      </c>
      <c r="M5" s="36">
        <v>3672</v>
      </c>
      <c r="N5" s="36">
        <f>IF('ErP Inputs'!E4="Air to Air",3851,3850)</f>
        <v>3851</v>
      </c>
      <c r="P5" s="43" t="s">
        <v>175</v>
      </c>
      <c r="Q5" s="228">
        <f>'ErP Inputs'!$D$48</f>
        <v>0</v>
      </c>
      <c r="R5" s="40" t="s">
        <v>20</v>
      </c>
      <c r="U5" s="158"/>
      <c r="V5" s="158"/>
      <c r="W5" s="158"/>
      <c r="X5" s="158"/>
    </row>
    <row r="6" spans="1:24" ht="15.75" x14ac:dyDescent="0.25">
      <c r="A6" s="208"/>
      <c r="D6" s="207"/>
      <c r="J6" s="207"/>
      <c r="K6" s="207"/>
      <c r="L6" s="207"/>
      <c r="M6" s="207"/>
      <c r="P6" s="59" t="s">
        <v>176</v>
      </c>
      <c r="Q6" s="220">
        <f>D5*J5</f>
        <v>0</v>
      </c>
      <c r="R6" s="267"/>
      <c r="U6" s="158"/>
      <c r="V6" s="158"/>
      <c r="W6" s="158"/>
      <c r="X6" s="158"/>
    </row>
    <row r="7" spans="1:24" ht="15.75" x14ac:dyDescent="0.25">
      <c r="A7" s="211"/>
      <c r="B7" s="211"/>
      <c r="C7" s="37" t="str">
        <f>'ErP Inputs'!E4</f>
        <v>Air to Air</v>
      </c>
      <c r="D7" s="212"/>
      <c r="J7" s="207"/>
      <c r="K7" s="207"/>
      <c r="L7" s="207"/>
      <c r="M7" s="207"/>
      <c r="P7" s="43" t="s">
        <v>177</v>
      </c>
      <c r="Q7" s="220" t="e">
        <f>Q6/N25+(K5*Q3)+(M5*Q4)+(N5*Q5)</f>
        <v>#VALUE!</v>
      </c>
      <c r="R7" s="268"/>
      <c r="U7" s="158"/>
      <c r="V7" s="158"/>
      <c r="W7" s="158"/>
      <c r="X7" s="158"/>
    </row>
    <row r="8" spans="1:24" ht="13.5" thickBot="1" x14ac:dyDescent="0.3">
      <c r="A8" s="211"/>
      <c r="B8" s="211"/>
      <c r="C8" s="37" t="str">
        <f>'ErP Inputs'!E5</f>
        <v>Variable Outlet</v>
      </c>
      <c r="D8" s="207"/>
    </row>
    <row r="9" spans="1:24" ht="13.5" thickBot="1" x14ac:dyDescent="0.3">
      <c r="A9" s="211"/>
      <c r="B9" s="211"/>
      <c r="D9" s="207"/>
      <c r="P9" s="234" t="s">
        <v>48</v>
      </c>
      <c r="Q9" s="232" t="e">
        <f>Q6/Q7</f>
        <v>#VALUE!</v>
      </c>
    </row>
    <row r="10" spans="1:24" x14ac:dyDescent="0.25">
      <c r="A10" s="211"/>
      <c r="B10" s="211"/>
      <c r="C10" s="51" t="s">
        <v>22</v>
      </c>
      <c r="D10" s="38" t="str">
        <f>IF(D3="Average","(Tj-16) / (-10-16) %",IF(D3="Warmer","(Tj-16) / (+2-16) %","(Tj-16) / (-22-16) %"))</f>
        <v>(Tj-16) / (-10-16) %</v>
      </c>
      <c r="E10" s="38"/>
      <c r="G10" s="114"/>
      <c r="P10" s="205" t="s">
        <v>52</v>
      </c>
      <c r="Q10" s="58">
        <v>2.5</v>
      </c>
      <c r="R10" s="204"/>
    </row>
    <row r="11" spans="1:24" x14ac:dyDescent="0.25">
      <c r="A11" s="211"/>
      <c r="B11" s="211"/>
      <c r="C11" s="214"/>
      <c r="D11" s="215"/>
      <c r="I11" s="207"/>
      <c r="P11" s="43" t="s">
        <v>54</v>
      </c>
      <c r="Q11" s="36">
        <v>3</v>
      </c>
      <c r="R11" s="40" t="s">
        <v>27</v>
      </c>
    </row>
    <row r="12" spans="1:24" ht="25.5" x14ac:dyDescent="0.25">
      <c r="A12" s="211"/>
      <c r="B12" s="211"/>
      <c r="C12" s="105" t="s">
        <v>26</v>
      </c>
      <c r="D12" s="106" t="s">
        <v>105</v>
      </c>
      <c r="E12" s="106" t="s">
        <v>106</v>
      </c>
      <c r="F12" s="106" t="s">
        <v>25</v>
      </c>
      <c r="G12" s="106" t="s">
        <v>22</v>
      </c>
      <c r="H12" s="106" t="s">
        <v>28</v>
      </c>
      <c r="I12" s="106" t="s">
        <v>29</v>
      </c>
      <c r="J12" s="106" t="s">
        <v>30</v>
      </c>
      <c r="K12" s="106" t="s">
        <v>207</v>
      </c>
      <c r="L12" s="106" t="s">
        <v>205</v>
      </c>
      <c r="M12" s="106" t="s">
        <v>36</v>
      </c>
      <c r="N12" s="106" t="s">
        <v>31</v>
      </c>
      <c r="P12" s="43" t="s">
        <v>80</v>
      </c>
      <c r="Q12" s="36">
        <f>IF(C7="Ground Source",5,0)</f>
        <v>0</v>
      </c>
      <c r="R12" s="40" t="s">
        <v>27</v>
      </c>
    </row>
    <row r="13" spans="1:24" ht="15.75" x14ac:dyDescent="0.25">
      <c r="C13" s="264"/>
      <c r="D13" s="206"/>
      <c r="E13" s="206"/>
      <c r="F13" s="265"/>
      <c r="G13" s="173" t="s">
        <v>27</v>
      </c>
      <c r="H13" s="173" t="s">
        <v>20</v>
      </c>
      <c r="I13" s="173" t="s">
        <v>20</v>
      </c>
      <c r="J13" s="173" t="s">
        <v>178</v>
      </c>
      <c r="K13" s="173" t="s">
        <v>73</v>
      </c>
      <c r="L13" s="173" t="s">
        <v>74</v>
      </c>
      <c r="M13" s="173"/>
      <c r="N13" s="173" t="s">
        <v>179</v>
      </c>
      <c r="P13" s="43" t="s">
        <v>118</v>
      </c>
      <c r="Q13" s="36">
        <f>Q11+Q12</f>
        <v>3</v>
      </c>
      <c r="R13" s="40" t="s">
        <v>27</v>
      </c>
    </row>
    <row r="14" spans="1:24" ht="13.5" thickBot="1" x14ac:dyDescent="0.3">
      <c r="A14" s="211"/>
      <c r="B14" s="211"/>
      <c r="C14" s="43"/>
      <c r="D14" s="36">
        <v>-15</v>
      </c>
      <c r="E14" s="216" t="str">
        <f>IF($D$3="Average","Not Applicable",IF($D$3="Warmer","Not Applicable",IF($D$3="Colder",(minus15-16)/(Tdesignh-16),"Check Value")))</f>
        <v>Not Applicable</v>
      </c>
      <c r="F14" s="216" t="str">
        <f>IF($D$3="Average","Not Applicable",IF($D$3="Warmer","Not Applicable",IF($D$3="Colder",(minus15-16)/(Tdesignh-16),"Check Value")))</f>
        <v>Not Applicable</v>
      </c>
      <c r="G14" s="216"/>
      <c r="H14" s="36"/>
      <c r="I14" s="36"/>
      <c r="J14" s="36"/>
      <c r="K14" s="36"/>
      <c r="L14" s="36"/>
      <c r="M14" s="36"/>
      <c r="N14" s="36"/>
    </row>
    <row r="15" spans="1:24" ht="41.25" customHeight="1" thickBot="1" x14ac:dyDescent="0.3">
      <c r="A15" s="211"/>
      <c r="B15" s="211"/>
      <c r="C15" s="217" t="s">
        <v>15</v>
      </c>
      <c r="D15" s="217">
        <v>-7</v>
      </c>
      <c r="E15" s="36">
        <f>IF('ErP Inputs'!E4="Ground Source",0,IF('ErP Inputs'!E4="Air Source",-7,10))</f>
        <v>10</v>
      </c>
      <c r="F15" s="217" t="str">
        <f>'ErP Inputs'!F33</f>
        <v>20</v>
      </c>
      <c r="G15" s="218">
        <f>(D15-16)/(Tdesignh-16)</f>
        <v>0.88461538461538458</v>
      </c>
      <c r="H15" s="191">
        <f>G15*$D$5</f>
        <v>0</v>
      </c>
      <c r="I15" s="191">
        <f>'ErP Inputs'!E34</f>
        <v>0</v>
      </c>
      <c r="J15" s="191">
        <f>'ErP Inputs'!E35</f>
        <v>0</v>
      </c>
      <c r="K15" s="191">
        <f>IF('ErP Inputs'!E36="",IF('ErP Inputs'!E4="Air to Air",0.25,0.9),'ErP Inputs'!E36)</f>
        <v>0.25</v>
      </c>
      <c r="L15" s="191" t="e">
        <f>IF(I15&lt;H15,1,H15/I15)</f>
        <v>#DIV/0!</v>
      </c>
      <c r="M15" s="191" t="e">
        <f>L15/(K15*L15+(1-K15))</f>
        <v>#DIV/0!</v>
      </c>
      <c r="N15" s="191" t="e">
        <f>IF(L15=1,J15,J15*L15/(K15*L15+(1-K15)))</f>
        <v>#DIV/0!</v>
      </c>
      <c r="P15" s="234" t="s">
        <v>51</v>
      </c>
      <c r="Q15" s="231" t="e">
        <f>(100/Q10)*Q9-Q13</f>
        <v>#VALUE!</v>
      </c>
    </row>
    <row r="16" spans="1:24" ht="13.5" thickBot="1" x14ac:dyDescent="0.3">
      <c r="C16" s="217" t="s">
        <v>16</v>
      </c>
      <c r="D16" s="217">
        <v>2</v>
      </c>
      <c r="E16" s="36">
        <f>IF('ErP Inputs'!E4="Ground Source",0,IF('ErP Inputs'!E4="Air Source",2,10))</f>
        <v>10</v>
      </c>
      <c r="F16" s="217" t="str">
        <f>'ErP Inputs'!H33</f>
        <v>20</v>
      </c>
      <c r="G16" s="218">
        <f>(D16-16)/(Tdesignh-16)</f>
        <v>0.53846153846153844</v>
      </c>
      <c r="H16" s="191">
        <f t="shared" ref="H16:H20" si="0">G16*$D$5</f>
        <v>0</v>
      </c>
      <c r="I16" s="191">
        <f>'ErP Inputs'!G34</f>
        <v>0</v>
      </c>
      <c r="J16" s="191">
        <f>'ErP Inputs'!G35</f>
        <v>0</v>
      </c>
      <c r="K16" s="191">
        <f>IF('ErP Inputs'!G36="",IF('ErP Inputs'!E4="Air to Air",0.25,0.9),'ErP Inputs'!G36)</f>
        <v>0.25</v>
      </c>
      <c r="L16" s="191" t="e">
        <f t="shared" ref="L16:L20" si="1">IF(I16&lt;H16,1,H16/I16)</f>
        <v>#DIV/0!</v>
      </c>
      <c r="M16" s="191" t="e">
        <f t="shared" ref="M16:M20" si="2">L16/(K16*L16+(1-K16))</f>
        <v>#DIV/0!</v>
      </c>
      <c r="N16" s="191" t="e">
        <f t="shared" ref="N16:N20" si="3">IF(L16=1,J16,J16*L16/(K16*L16+(1-K16)))</f>
        <v>#DIV/0!</v>
      </c>
    </row>
    <row r="17" spans="3:20" ht="13.5" thickBot="1" x14ac:dyDescent="0.3">
      <c r="C17" s="217" t="s">
        <v>17</v>
      </c>
      <c r="D17" s="217">
        <v>7</v>
      </c>
      <c r="E17" s="36">
        <f>IF('ErP Inputs'!E4="Ground Source",0,IF('ErP Inputs'!E4="Air Source",7,10))</f>
        <v>10</v>
      </c>
      <c r="F17" s="217" t="str">
        <f>'ErP Inputs'!J33</f>
        <v>20</v>
      </c>
      <c r="G17" s="218">
        <f>(D17-16)/(Tdesignh-16)</f>
        <v>0.34615384615384615</v>
      </c>
      <c r="H17" s="191">
        <f t="shared" si="0"/>
        <v>0</v>
      </c>
      <c r="I17" s="191">
        <f>'ErP Inputs'!I34</f>
        <v>0</v>
      </c>
      <c r="J17" s="191">
        <f>'ErP Inputs'!I35</f>
        <v>0</v>
      </c>
      <c r="K17" s="191">
        <f>IF('ErP Inputs'!I36="",IF('ErP Inputs'!E4="Air to Air",0.25,0.9),'ErP Inputs'!I36)</f>
        <v>0.25</v>
      </c>
      <c r="L17" s="191" t="e">
        <f t="shared" si="1"/>
        <v>#DIV/0!</v>
      </c>
      <c r="M17" s="191" t="e">
        <f t="shared" si="2"/>
        <v>#DIV/0!</v>
      </c>
      <c r="N17" s="191" t="e">
        <f t="shared" si="3"/>
        <v>#DIV/0!</v>
      </c>
      <c r="P17" s="234" t="s">
        <v>53</v>
      </c>
      <c r="Q17" s="229" t="e">
        <f>IF('ErP Inputs'!E8="Low Temperature Heat Pump",IF(Q15&gt;=150,"A++",IF(AND(Q15&lt;150,Q15&gt;=123),"A+",IF(AND(Q15&lt;123,Q15&gt;=115),"A",IF(AND(Q15&lt;115,Q15&gt;=107),"B",IF(AND(Q15&lt;107,Q15&gt;=100),"C",IF(AND(Q15&lt;100,Q15&gt;=61),"D",IF(AND(Q15&lt;61,Q15&gt;=59),"E",IF(AND(Q15&lt;59,Q15&gt;=55),"F","G")))))))),IF(Q15&gt;=125,"A++",IF(AND(Q15&lt;125,Q15&gt;=98),"A+",IF(AND(Q15&lt;98,Q15&gt;=90),"A",IF(AND(Q15&lt;90,Q15&gt;=82),"B",IF(AND(Q15&lt;82,Q15&gt;=75),"C",IF(AND(Q15&lt;75,Q15&gt;=36),"D",IF(AND(Q15&lt;36,Q15&gt;=34),"E",IF(AND(Q15&lt;34,Q15&gt;=30),"F","G")))))))))</f>
        <v>#VALUE!</v>
      </c>
    </row>
    <row r="18" spans="3:20" ht="13.5" thickBot="1" x14ac:dyDescent="0.3">
      <c r="C18" s="217" t="s">
        <v>18</v>
      </c>
      <c r="D18" s="217">
        <v>12</v>
      </c>
      <c r="E18" s="36">
        <f>IF('ErP Inputs'!E4="Ground Source",0,IF('ErP Inputs'!E4="Air Source",12,10))</f>
        <v>10</v>
      </c>
      <c r="F18" s="217" t="str">
        <f>'ErP Inputs'!L33</f>
        <v>20</v>
      </c>
      <c r="G18" s="218">
        <f>(D18-16)/(Tdesignh-16)</f>
        <v>0.15384615384615385</v>
      </c>
      <c r="H18" s="191">
        <f t="shared" si="0"/>
        <v>0</v>
      </c>
      <c r="I18" s="191">
        <f>'ErP Inputs'!K34</f>
        <v>0</v>
      </c>
      <c r="J18" s="191">
        <f>'ErP Inputs'!K35</f>
        <v>0</v>
      </c>
      <c r="K18" s="191">
        <f>IF('ErP Inputs'!K36="",IF('ErP Inputs'!E4="Air to Air",0.25,0.9),'ErP Inputs'!K36)</f>
        <v>0.25</v>
      </c>
      <c r="L18" s="191" t="e">
        <f>IF(I18&lt;H18,1,H18/I18)</f>
        <v>#DIV/0!</v>
      </c>
      <c r="M18" s="191" t="e">
        <f t="shared" si="2"/>
        <v>#DIV/0!</v>
      </c>
      <c r="N18" s="191" t="e">
        <f t="shared" si="3"/>
        <v>#DIV/0!</v>
      </c>
    </row>
    <row r="19" spans="3:20" ht="15" thickBot="1" x14ac:dyDescent="0.3">
      <c r="C19" s="217" t="s">
        <v>104</v>
      </c>
      <c r="D19" s="217" t="str">
        <f>IF(OR('ErP Inputs'!E4="Ground Source",'ErP Inputs'!E4="Water Source"),-10,IF('ErP Inputs'!D45&gt;-7,"N/A",IF(AND('ErP Inputs'!D45&gt;=Tdesignh,'ErP Inputs'!D45&lt;=-7),'ErP Inputs'!D45,Tdesignh)))</f>
        <v>N/A</v>
      </c>
      <c r="E19" s="36">
        <f>IF('ErP Inputs'!E4="Ground Source",0,IF('ErP Inputs'!E4="Air Source",D19,10))</f>
        <v>10</v>
      </c>
      <c r="F19" s="217" t="str">
        <f>'ErP Inputs'!N33</f>
        <v>20</v>
      </c>
      <c r="G19" s="218" t="e">
        <f>(D19-16)/(Tdesignh-16)</f>
        <v>#VALUE!</v>
      </c>
      <c r="H19" s="191" t="e">
        <f t="shared" si="0"/>
        <v>#VALUE!</v>
      </c>
      <c r="I19" s="191">
        <f>'ErP Inputs'!M34</f>
        <v>0</v>
      </c>
      <c r="J19" s="191">
        <f>'ErP Inputs'!M35</f>
        <v>0</v>
      </c>
      <c r="K19" s="191">
        <f>IF('ErP Inputs'!M36="",IF('ErP Inputs'!E4="Air to Air",0.25,0.9),'ErP Inputs'!M36)</f>
        <v>0.25</v>
      </c>
      <c r="L19" s="191" t="e">
        <f t="shared" si="1"/>
        <v>#VALUE!</v>
      </c>
      <c r="M19" s="191" t="e">
        <f t="shared" si="2"/>
        <v>#VALUE!</v>
      </c>
      <c r="N19" s="191" t="e">
        <f t="shared" si="3"/>
        <v>#VALUE!</v>
      </c>
      <c r="P19" s="234" t="s">
        <v>119</v>
      </c>
      <c r="Q19" s="230" t="e">
        <f>IF(Q20=FALSE,MIN(S29:S54),"N/A")</f>
        <v>#VALUE!</v>
      </c>
      <c r="R19" s="229" t="s">
        <v>162</v>
      </c>
    </row>
    <row r="20" spans="3:20" x14ac:dyDescent="0.25">
      <c r="C20" s="217" t="s">
        <v>123</v>
      </c>
      <c r="D20" s="217">
        <f>'ErP Inputs'!D20</f>
        <v>0</v>
      </c>
      <c r="E20" s="36">
        <f>IF('ErP Inputs'!E4="Ground Source",0,IF('ErP Inputs'!E4="Air Source",D20,10))</f>
        <v>10</v>
      </c>
      <c r="F20" s="217" t="str">
        <f>'ErP Inputs'!P33</f>
        <v/>
      </c>
      <c r="G20" s="218">
        <f t="shared" ref="G20" si="4">(D20-16)/(Tdesignh-16)</f>
        <v>0.61538461538461542</v>
      </c>
      <c r="H20" s="191">
        <f t="shared" si="0"/>
        <v>0</v>
      </c>
      <c r="I20" s="191">
        <f>'ErP Inputs'!O34</f>
        <v>0</v>
      </c>
      <c r="J20" s="191">
        <f>'ErP Inputs'!O35</f>
        <v>0</v>
      </c>
      <c r="K20" s="191">
        <f>IF('ErP Inputs'!O36="",IF('ErP Inputs'!E4="Air to Air",0.25,0.9),'ErP Inputs'!O36)</f>
        <v>0.25</v>
      </c>
      <c r="L20" s="191" t="e">
        <f t="shared" si="1"/>
        <v>#DIV/0!</v>
      </c>
      <c r="M20" s="191" t="e">
        <f t="shared" si="2"/>
        <v>#DIV/0!</v>
      </c>
      <c r="N20" s="191" t="e">
        <f t="shared" si="3"/>
        <v>#DIV/0!</v>
      </c>
      <c r="Q20" s="233" t="b">
        <f>ISERROR(N25)</f>
        <v>0</v>
      </c>
    </row>
    <row r="21" spans="3:20" x14ac:dyDescent="0.25">
      <c r="C21" s="262" t="s">
        <v>150</v>
      </c>
      <c r="D21" s="262"/>
      <c r="E21" s="262"/>
      <c r="F21" s="262"/>
      <c r="G21" s="262"/>
      <c r="H21" s="262"/>
      <c r="I21" s="262"/>
      <c r="J21" s="262"/>
      <c r="K21" s="262"/>
      <c r="L21" s="262"/>
      <c r="M21" s="262"/>
      <c r="N21" s="262"/>
      <c r="Q21" s="233"/>
    </row>
    <row r="22" spans="3:20" x14ac:dyDescent="0.25">
      <c r="C22" s="255" t="s">
        <v>204</v>
      </c>
      <c r="D22" s="255"/>
      <c r="E22" s="255"/>
      <c r="F22" s="255"/>
      <c r="G22" s="255"/>
      <c r="H22" s="255"/>
      <c r="I22" s="255"/>
      <c r="J22" s="255"/>
      <c r="K22" s="255"/>
      <c r="L22" s="255"/>
      <c r="M22" s="255"/>
      <c r="N22" s="255"/>
      <c r="Q22" s="233"/>
    </row>
    <row r="23" spans="3:20" x14ac:dyDescent="0.25">
      <c r="C23" s="255" t="s">
        <v>208</v>
      </c>
      <c r="D23" s="255"/>
      <c r="E23" s="255"/>
      <c r="F23" s="255"/>
      <c r="G23" s="255"/>
      <c r="H23" s="255"/>
      <c r="I23" s="255"/>
      <c r="J23" s="255"/>
      <c r="K23" s="255"/>
      <c r="L23" s="255"/>
      <c r="M23" s="255"/>
      <c r="N23" s="255"/>
      <c r="Q23" s="233"/>
    </row>
    <row r="24" spans="3:20" ht="13.5" thickBot="1" x14ac:dyDescent="0.3"/>
    <row r="25" spans="3:20" ht="15" thickBot="1" x14ac:dyDescent="0.3">
      <c r="M25" s="234" t="s">
        <v>194</v>
      </c>
      <c r="N25" s="231" t="str">
        <f>N56</f>
        <v>N/A</v>
      </c>
      <c r="P25" s="234" t="s">
        <v>195</v>
      </c>
      <c r="Q25" s="231" t="str">
        <f>Q56</f>
        <v>N/A</v>
      </c>
    </row>
    <row r="26" spans="3:20" ht="52.5" customHeight="1" x14ac:dyDescent="0.25">
      <c r="C26" s="105" t="s">
        <v>32</v>
      </c>
      <c r="D26" s="106" t="s">
        <v>33</v>
      </c>
      <c r="E26" s="105" t="s">
        <v>34</v>
      </c>
      <c r="F26" s="105" t="s">
        <v>22</v>
      </c>
      <c r="G26" s="105" t="s">
        <v>28</v>
      </c>
      <c r="H26" s="106" t="s">
        <v>39</v>
      </c>
      <c r="I26" s="106" t="s">
        <v>37</v>
      </c>
      <c r="J26" s="106" t="s">
        <v>35</v>
      </c>
      <c r="K26" s="106" t="s">
        <v>38</v>
      </c>
      <c r="L26" s="106" t="s">
        <v>40</v>
      </c>
      <c r="M26" s="106" t="s">
        <v>189</v>
      </c>
      <c r="N26" s="106" t="s">
        <v>41</v>
      </c>
      <c r="P26" s="106" t="s">
        <v>42</v>
      </c>
      <c r="Q26" s="106" t="s">
        <v>44</v>
      </c>
    </row>
    <row r="27" spans="3:20" ht="15.75" x14ac:dyDescent="0.25">
      <c r="C27" s="224" t="s">
        <v>0</v>
      </c>
      <c r="D27" s="224" t="s">
        <v>180</v>
      </c>
      <c r="E27" s="224" t="s">
        <v>181</v>
      </c>
      <c r="F27" s="224"/>
      <c r="G27" s="224" t="s">
        <v>182</v>
      </c>
      <c r="H27" s="224" t="s">
        <v>183</v>
      </c>
      <c r="I27" s="225"/>
      <c r="J27" s="227"/>
      <c r="K27" s="224" t="s">
        <v>184</v>
      </c>
      <c r="L27" s="224" t="s">
        <v>185</v>
      </c>
      <c r="M27" s="258"/>
      <c r="N27" s="224" t="s">
        <v>186</v>
      </c>
      <c r="P27" s="224" t="s">
        <v>43</v>
      </c>
      <c r="Q27" s="224" t="s">
        <v>187</v>
      </c>
    </row>
    <row r="28" spans="3:20" ht="14.25" x14ac:dyDescent="0.25">
      <c r="C28" s="173"/>
      <c r="D28" s="173" t="s">
        <v>155</v>
      </c>
      <c r="E28" s="173" t="s">
        <v>4</v>
      </c>
      <c r="F28" s="173"/>
      <c r="G28" s="173" t="s">
        <v>20</v>
      </c>
      <c r="H28" s="173" t="s">
        <v>21</v>
      </c>
      <c r="I28" s="173" t="s">
        <v>20</v>
      </c>
      <c r="J28" s="173" t="s">
        <v>20</v>
      </c>
      <c r="K28" s="174" t="s">
        <v>20</v>
      </c>
      <c r="L28" s="173" t="s">
        <v>21</v>
      </c>
      <c r="M28" s="174"/>
      <c r="N28" s="173" t="s">
        <v>21</v>
      </c>
      <c r="P28" s="173" t="s">
        <v>21</v>
      </c>
      <c r="Q28" s="173" t="s">
        <v>21</v>
      </c>
    </row>
    <row r="29" spans="3:20" x14ac:dyDescent="0.25">
      <c r="C29" s="36">
        <v>21</v>
      </c>
      <c r="D29" s="36">
        <v>-10</v>
      </c>
      <c r="E29" s="36">
        <f>HLOOKUP($D$3,'Table 37'!$B$3:$F$51,24,FALSE)</f>
        <v>1</v>
      </c>
      <c r="F29" s="219">
        <f t="shared" ref="F29:F54" si="5">(D29-16)/(Tdesignh-16)</f>
        <v>1</v>
      </c>
      <c r="G29" s="219">
        <f t="shared" ref="G29:G54" si="6">$D$5*F29</f>
        <v>0</v>
      </c>
      <c r="H29" s="220">
        <f t="shared" ref="H29:H54" si="7">E29*G29</f>
        <v>0</v>
      </c>
      <c r="I29" s="157">
        <f>IF(D19&gt;D29,0,I19)</f>
        <v>0</v>
      </c>
      <c r="J29" s="157">
        <f>IF(G29&lt;I29,G29,I29)</f>
        <v>0</v>
      </c>
      <c r="K29" s="221">
        <f>IF(I29&gt;0.9*G29,0,G29-I29)</f>
        <v>0</v>
      </c>
      <c r="L29" s="220" t="e">
        <f>IF(D19="N/A",#DIV/0!,K29*E29)</f>
        <v>#DIV/0!</v>
      </c>
      <c r="M29" s="244" t="e">
        <f>COPPL_TOL</f>
        <v>#VALUE!</v>
      </c>
      <c r="N29" s="220" t="e">
        <f>IFERROR(E29*((G29-K29)/M29+K29),L29)</f>
        <v>#DIV/0!</v>
      </c>
      <c r="P29" s="220">
        <f t="shared" ref="P29:P54" si="8">E29*(G29-K29)</f>
        <v>0</v>
      </c>
      <c r="Q29" s="220" t="e">
        <f>IF(P29=0,L29,IF(F29&lt;1,E29*Q29/M29,E29*(G29-K29)/M29))</f>
        <v>#DIV/0!</v>
      </c>
      <c r="R29" s="217" t="e">
        <f>IF(AND(G29*0.9&gt;I29,G30*0.9&lt;I30),D29,-10)</f>
        <v>#VALUE!</v>
      </c>
      <c r="S29" s="260" t="e">
        <f>IF(R29=FALSE,"N/A",D29)</f>
        <v>#VALUE!</v>
      </c>
      <c r="T29" s="211"/>
    </row>
    <row r="30" spans="3:20" x14ac:dyDescent="0.25">
      <c r="C30" s="36">
        <v>22</v>
      </c>
      <c r="D30" s="36">
        <v>-9</v>
      </c>
      <c r="E30" s="36">
        <f>HLOOKUP($D$3,'Table 37'!$B$3:$F$51,25,FALSE)</f>
        <v>25</v>
      </c>
      <c r="F30" s="219">
        <f t="shared" si="5"/>
        <v>0.96153846153846156</v>
      </c>
      <c r="G30" s="219">
        <f t="shared" si="6"/>
        <v>0</v>
      </c>
      <c r="H30" s="220">
        <f t="shared" si="7"/>
        <v>0</v>
      </c>
      <c r="I30" s="191" t="e">
        <f>IF(('ErP Inputs'!$H$20)=(TRUE),IF(AND($D$20&lt;$D$15,$D$20&gt;D$19),IF($D$20=D30,$I$20,IF($D$20&gt;D30,(($I$20-$I$19)/($D$20-$D$19)*(D30-$D$20)+$I$20),(($I$15-$I$20)/($D$15-$D$20)*(D30-$D$15)+$I$15))),(($I$15-$I$19)/($D$15-$D$19)*(D30-$D$15)+$I$15)),(($I$15-$I$19)/($D$15-$D$19)*(D30-$D$15)+$I$15))</f>
        <v>#VALUE!</v>
      </c>
      <c r="J30" s="219" t="e">
        <f>IF(I30=0,0,IF(G30&lt;(($I$15-$I$19)/($D$15-$D$19)*(D30-$D$19)+$I$19),G30,(($I$15-$I$19)/($D$15-$D$19)*(D30-$D$19)+$I$19)))</f>
        <v>#VALUE!</v>
      </c>
      <c r="K30" s="221" t="e">
        <f t="shared" ref="K30:K54" si="9">IF(I30&gt;0.9*G30,0,G30-I30)</f>
        <v>#VALUE!</v>
      </c>
      <c r="L30" s="220" t="e">
        <f t="shared" ref="L30:L54" si="10">K30*E30</f>
        <v>#VALUE!</v>
      </c>
      <c r="M30" s="221" t="e">
        <f>IF(('ErP Inputs'!$H$20)=(TRUE),IF(AND($D$20&lt;$D$15,$D$20&gt;D$19),IF($D$20=D30,COPPL_Tbiv,IF($D$20&gt;D30,((COPPL_Tbiv-COPPL_TOL)/($D$20-$D$19)*(D30-$D$20)+COPPL_TOL),((COPPL_a-COPPL_TOL)/($D$15-$D$20)*(D30-$D$15)+COPPL_a))),((COPPL_a-COPPL_TOL)/($D$15-$D$19)*(D30-$D$15)+COPPL_a)),((COPPL_a-COPPL_TOL)/($D$15-$D$19)*(D30-$D$15)+COPPL_a))</f>
        <v>#DIV/0!</v>
      </c>
      <c r="N30" s="220" t="e">
        <f>IFERROR(E30*((G30-K30)/M30+K30),L30)</f>
        <v>#VALUE!</v>
      </c>
      <c r="P30" s="220" t="e">
        <f t="shared" si="8"/>
        <v>#VALUE!</v>
      </c>
      <c r="Q30" s="220" t="e">
        <f>IF(P29=0,L30,E30*(G30-K30)/M30)</f>
        <v>#VALUE!</v>
      </c>
      <c r="R30" s="217" t="e">
        <f>IF(AND(G30*0.9&gt;I30,G31*0.9&lt;I31),D30,FALSE)</f>
        <v>#VALUE!</v>
      </c>
      <c r="S30" s="260" t="e">
        <f t="shared" ref="S30:S54" si="11">IF(R30=FALSE,"N/A",D30)</f>
        <v>#VALUE!</v>
      </c>
      <c r="T30" s="211"/>
    </row>
    <row r="31" spans="3:20" x14ac:dyDescent="0.25">
      <c r="C31" s="36">
        <v>23</v>
      </c>
      <c r="D31" s="36">
        <v>-8</v>
      </c>
      <c r="E31" s="36">
        <f>HLOOKUP($D$3,'Table 37'!$B$3:$F$51,26,FALSE)</f>
        <v>23</v>
      </c>
      <c r="F31" s="219">
        <f t="shared" si="5"/>
        <v>0.92307692307692313</v>
      </c>
      <c r="G31" s="219">
        <f t="shared" si="6"/>
        <v>0</v>
      </c>
      <c r="H31" s="220">
        <f t="shared" si="7"/>
        <v>0</v>
      </c>
      <c r="I31" s="191" t="e">
        <f>IF(('ErP Inputs'!$H$20)=(TRUE),IF(AND($D$20&lt;$D$15,$D$20&gt;D$19),IF($D$20=D31,$I$20,IF($D$20&gt;D31,(($I$20-$I$19)/($D$20-$D$19)*(D31-$D$20)+$I$20),(($I$15-$I$20)/($D$15-$D$20)*(D31-$D$15)+$I$15))),(($I$15-$I$19)/($D$15-$D$19)*(D31-$D$15)+$I$15)),(($I$15-$I$19)/($D$15-$D$19)*(D31-$D$15)+$I$15))</f>
        <v>#VALUE!</v>
      </c>
      <c r="J31" s="219">
        <f>IF(D19&gt;=-7,0,IF(G31&lt;(($I$15-$I$19)/($D$15-$D$19)*(D31-$D$19)+$I$19),G31,(($I$15-$I$19)/($D$15-$D$19)*(D31-$D$19)+$I$19)))</f>
        <v>0</v>
      </c>
      <c r="K31" s="221" t="e">
        <f t="shared" si="9"/>
        <v>#VALUE!</v>
      </c>
      <c r="L31" s="220" t="e">
        <f t="shared" si="10"/>
        <v>#VALUE!</v>
      </c>
      <c r="M31" s="221" t="e">
        <f>IF(('ErP Inputs'!$H$20)=(TRUE),IF(AND($D$20&lt;$D$15,$D$20&gt;D$19),IF($D$20=D31,COPPL_Tbiv,IF($D$20&gt;D31,((COPPL_Tbiv-COPPL_TOL)/($D$20-$D$19)*(D31-$D$20)+COPPL_TOL),((COPPL_a-COPPL_TOL)/($D$15-$D$20)*(D31-$D$15)+COPPL_a))),((COPPL_a-COPPL_TOL)/($D$15-$D$19)*(D31-$D$15)+COPPL_a)),((COPPL_a-COPPL_TOL)/($D$15-$D$19)*(D31-$D$15)+COPPL_a))</f>
        <v>#DIV/0!</v>
      </c>
      <c r="N31" s="220" t="e">
        <f>IFERROR(E31*((G31-K31)/M31+K31),L31)</f>
        <v>#VALUE!</v>
      </c>
      <c r="P31" s="220" t="e">
        <f t="shared" si="8"/>
        <v>#VALUE!</v>
      </c>
      <c r="Q31" s="220" t="e">
        <f>IF(P29=0,L31,E31*(G31-K31)/M31)</f>
        <v>#VALUE!</v>
      </c>
      <c r="R31" s="217" t="e">
        <f t="shared" ref="R31:R54" si="12">IF(AND(G31*0.9&gt;I31,G32*0.9&lt;I32),D31,FALSE)</f>
        <v>#VALUE!</v>
      </c>
      <c r="S31" s="260" t="e">
        <f t="shared" si="11"/>
        <v>#VALUE!</v>
      </c>
      <c r="T31" s="211"/>
    </row>
    <row r="32" spans="3:20" x14ac:dyDescent="0.25">
      <c r="C32" s="36">
        <v>24</v>
      </c>
      <c r="D32" s="36">
        <v>-7</v>
      </c>
      <c r="E32" s="36">
        <f>HLOOKUP($D$3,'Table 37'!$B$3:$F$51,27,FALSE)</f>
        <v>24</v>
      </c>
      <c r="F32" s="219">
        <f t="shared" si="5"/>
        <v>0.88461538461538458</v>
      </c>
      <c r="G32" s="219">
        <f t="shared" si="6"/>
        <v>0</v>
      </c>
      <c r="H32" s="220">
        <f t="shared" si="7"/>
        <v>0</v>
      </c>
      <c r="I32" s="157">
        <f>I15</f>
        <v>0</v>
      </c>
      <c r="J32" s="157">
        <f>IF(G32&lt;I15,G32,I15)</f>
        <v>0</v>
      </c>
      <c r="K32" s="221">
        <f t="shared" si="9"/>
        <v>0</v>
      </c>
      <c r="L32" s="220">
        <f t="shared" si="10"/>
        <v>0</v>
      </c>
      <c r="M32" s="244" t="e">
        <f>COPPL_a</f>
        <v>#DIV/0!</v>
      </c>
      <c r="N32" s="220" t="e">
        <f t="shared" ref="N32:N54" si="13">E32*((G32-K32)/M32+K32)</f>
        <v>#DIV/0!</v>
      </c>
      <c r="P32" s="220">
        <f t="shared" si="8"/>
        <v>0</v>
      </c>
      <c r="Q32" s="220" t="e">
        <f t="shared" ref="Q32:Q54" si="14">E32*(G32-K32)/M32</f>
        <v>#DIV/0!</v>
      </c>
      <c r="R32" s="217" t="b">
        <f t="shared" si="12"/>
        <v>0</v>
      </c>
      <c r="S32" s="260" t="str">
        <f t="shared" si="11"/>
        <v>N/A</v>
      </c>
      <c r="T32" s="211"/>
    </row>
    <row r="33" spans="3:20" x14ac:dyDescent="0.25">
      <c r="C33" s="36">
        <v>25</v>
      </c>
      <c r="D33" s="36">
        <v>-6</v>
      </c>
      <c r="E33" s="36">
        <f>HLOOKUP($D$3,'Table 37'!$B$3:$F$51,28,FALSE)</f>
        <v>27</v>
      </c>
      <c r="F33" s="219">
        <f t="shared" si="5"/>
        <v>0.84615384615384615</v>
      </c>
      <c r="G33" s="219">
        <f t="shared" si="6"/>
        <v>0</v>
      </c>
      <c r="H33" s="220">
        <f t="shared" si="7"/>
        <v>0</v>
      </c>
      <c r="I33" s="191">
        <f>IF(('ErP Inputs'!$H$20)=(TRUE),IF(AND($D$20&lt;$D$16,$D$20&gt;D$15),IF($D$20=D33,$I$20,IF($D$20&gt;D33,(($I$20-$I$15)/($D$20-$D$15)*(D33-$D$20)+$I$20),(($I$16-$I$20)/($D$16-$D$20)*(D33-$D$16)+$I$16))),(($I$16-$I$15)/($D$16-$D$15)*(D33-$D$15)+$I$15)),(($I$16-$I$15)/($D$16-$D$15)*(D33-$D$15)+$I$15))</f>
        <v>0</v>
      </c>
      <c r="J33" s="219">
        <f>IF(G33&lt;(($I$16-$I$15)/($D$16-$D$15)*(D33-$D$15)+$I$15),G33,(($I$16-$I$15)/($D$16-$D$15)*(D33-$D$15)+$I$15))</f>
        <v>0</v>
      </c>
      <c r="K33" s="221">
        <f t="shared" si="9"/>
        <v>0</v>
      </c>
      <c r="L33" s="220">
        <f t="shared" si="10"/>
        <v>0</v>
      </c>
      <c r="M33" s="221" t="e">
        <f>IF(('ErP Inputs'!$H$20)=(TRUE),IF(AND($D$20&lt;$D$16,$D$20&gt;D$15),IF($D$20=D33,COPPL_Tbiv,IF($D$20&gt;D33,((COPPL_Tbiv-COPPL_a)/($D$20-$D$15)*(D33-$D$20)+COPPL_Tbiv),((COPPL_b-COPPL_Tbiv)/($D$16-$D$20)*(D33-$D$16)+COPPL_b))),((COPPL_b-COPPL_a)/($D$16-$D$15)*(D33-$D$15)+COPPL_a)),((COPPL_b-COPPL_a)/($D$16-$D$15)*(D33-$D$15)+COPPL_a))</f>
        <v>#DIV/0!</v>
      </c>
      <c r="N33" s="220" t="e">
        <f t="shared" si="13"/>
        <v>#DIV/0!</v>
      </c>
      <c r="P33" s="220">
        <f t="shared" si="8"/>
        <v>0</v>
      </c>
      <c r="Q33" s="220" t="e">
        <f t="shared" si="14"/>
        <v>#DIV/0!</v>
      </c>
      <c r="R33" s="217" t="b">
        <f t="shared" si="12"/>
        <v>0</v>
      </c>
      <c r="S33" s="260" t="str">
        <f t="shared" si="11"/>
        <v>N/A</v>
      </c>
      <c r="T33" s="211"/>
    </row>
    <row r="34" spans="3:20" x14ac:dyDescent="0.25">
      <c r="C34" s="36">
        <v>26</v>
      </c>
      <c r="D34" s="36">
        <v>-5</v>
      </c>
      <c r="E34" s="36">
        <f>HLOOKUP($D$3,'Table 37'!$B$3:$F$51,29,FALSE)</f>
        <v>68</v>
      </c>
      <c r="F34" s="219">
        <f t="shared" si="5"/>
        <v>0.80769230769230771</v>
      </c>
      <c r="G34" s="219">
        <f t="shared" si="6"/>
        <v>0</v>
      </c>
      <c r="H34" s="220">
        <f t="shared" si="7"/>
        <v>0</v>
      </c>
      <c r="I34" s="191">
        <f>IF(('ErP Inputs'!$H$20)=(TRUE),IF(AND($D$20&lt;$D$16,$D$20&gt;D$15),IF($D$20=D34,$I$20,IF($D$20&gt;D34,(($I$20-$I$15)/($D$20-$D$15)*(D34-$D$20)+$I$20),(($I$16-$I$20)/($D$16-$D$20)*(D34-$D$16)+$I$16))),(($I$16-$I$15)/($D$16-$D$15)*(D34-$D$15)+$I$15)),(($I$16-$I$15)/($D$16-$D$15)*(D34-$D$15)+$I$15))</f>
        <v>0</v>
      </c>
      <c r="J34" s="219">
        <f>IF(G34&lt;(($I$16-$I$15)/($D$16-$D$15)*(D34-$D$15)+$I$15),G34,(($I$16-$I$15)/($D$16-$D$15)*(D34-$D$15)+$I$15))</f>
        <v>0</v>
      </c>
      <c r="K34" s="221">
        <f t="shared" si="9"/>
        <v>0</v>
      </c>
      <c r="L34" s="220">
        <f t="shared" si="10"/>
        <v>0</v>
      </c>
      <c r="M34" s="221" t="e">
        <f>IF(('ErP Inputs'!$H$20)=(TRUE),IF(AND($D$20&lt;$D$16,$D$20&gt;D$15),IF($D$20=D34,COPPL_Tbiv,IF($D$20&gt;D34,((COPPL_Tbiv-COPPL_a)/($D$20-$D$15)*(D34-$D$20)+COPPL_Tbiv),((COPPL_b-COPPL_Tbiv)/($D$16-$D$20)*(D34-$D$16)+COPPL_b))),((COPPL_b-COPPL_a)/($D$16-$D$15)*(D34-$D$15)+COPPL_a)),((COPPL_b-COPPL_a)/($D$16-$D$15)*(D34-$D$15)+COPPL_a))</f>
        <v>#DIV/0!</v>
      </c>
      <c r="N34" s="220" t="e">
        <f t="shared" si="13"/>
        <v>#DIV/0!</v>
      </c>
      <c r="P34" s="220">
        <f t="shared" si="8"/>
        <v>0</v>
      </c>
      <c r="Q34" s="220" t="e">
        <f t="shared" si="14"/>
        <v>#DIV/0!</v>
      </c>
      <c r="R34" s="217" t="b">
        <f t="shared" si="12"/>
        <v>0</v>
      </c>
      <c r="S34" s="260" t="str">
        <f t="shared" si="11"/>
        <v>N/A</v>
      </c>
      <c r="T34" s="211"/>
    </row>
    <row r="35" spans="3:20" x14ac:dyDescent="0.25">
      <c r="C35" s="36">
        <v>27</v>
      </c>
      <c r="D35" s="36">
        <v>-4</v>
      </c>
      <c r="E35" s="36">
        <f>HLOOKUP($D$3,'Table 37'!$B$3:$F$51,30,FALSE)</f>
        <v>91</v>
      </c>
      <c r="F35" s="219">
        <f t="shared" si="5"/>
        <v>0.76923076923076927</v>
      </c>
      <c r="G35" s="219">
        <f t="shared" si="6"/>
        <v>0</v>
      </c>
      <c r="H35" s="220">
        <f t="shared" si="7"/>
        <v>0</v>
      </c>
      <c r="I35" s="191">
        <f>IF(('ErP Inputs'!$H$20)=(TRUE),IF(AND($D$20&lt;$D$16,$D$20&gt;D$15),IF($D$20=D35,$I$20,IF($D$20&gt;D35,(($I$20-$I$15)/($D$20-$D$15)*(D35-$D$20)+$I$20),(($I$16-$I$20)/($D$16-$D$20)*(D35-$D$16)+$I$16))),(($I$16-$I$15)/($D$16-$D$15)*(D35-$D$15)+$I$15)),(($I$16-$I$15)/($D$16-$D$15)*(D35-$D$15)+$I$15))</f>
        <v>0</v>
      </c>
      <c r="J35" s="219">
        <f>IF(G35&lt;(($I$16-$I$15)/($D$16-$D$15)*(D35-$D$15)+$I$15),G35,(($I$16-$I$15)/($D$16-$D$15)*(D35-$D$15)+$I$15))</f>
        <v>0</v>
      </c>
      <c r="K35" s="221">
        <f t="shared" si="9"/>
        <v>0</v>
      </c>
      <c r="L35" s="220">
        <f t="shared" si="10"/>
        <v>0</v>
      </c>
      <c r="M35" s="221" t="e">
        <f>IF(('ErP Inputs'!$H$20)=(TRUE),IF(AND($D$20&lt;$D$16,$D$20&gt;D$15),IF($D$20=D35,COPPL_Tbiv,IF($D$20&gt;D35,((COPPL_Tbiv-COPPL_a)/($D$20-$D$15)*(D35-$D$20)+COPPL_Tbiv),((COPPL_b-COPPL_Tbiv)/($D$16-$D$20)*(D35-$D$16)+COPPL_b))),((COPPL_b-COPPL_a)/($D$16-$D$15)*(D35-$D$15)+COPPL_a)),((COPPL_b-COPPL_a)/($D$16-$D$15)*(D35-$D$15)+COPPL_a))</f>
        <v>#DIV/0!</v>
      </c>
      <c r="N35" s="220" t="e">
        <f t="shared" si="13"/>
        <v>#DIV/0!</v>
      </c>
      <c r="P35" s="220">
        <f t="shared" si="8"/>
        <v>0</v>
      </c>
      <c r="Q35" s="220" t="e">
        <f t="shared" si="14"/>
        <v>#DIV/0!</v>
      </c>
      <c r="R35" s="217" t="b">
        <f t="shared" si="12"/>
        <v>0</v>
      </c>
      <c r="S35" s="260" t="str">
        <f t="shared" si="11"/>
        <v>N/A</v>
      </c>
      <c r="T35" s="211"/>
    </row>
    <row r="36" spans="3:20" x14ac:dyDescent="0.25">
      <c r="C36" s="36">
        <v>28</v>
      </c>
      <c r="D36" s="36">
        <v>-3</v>
      </c>
      <c r="E36" s="36">
        <f>HLOOKUP($D$3,'Table 37'!$B$3:$F$51,31,FALSE)</f>
        <v>89</v>
      </c>
      <c r="F36" s="219">
        <f t="shared" si="5"/>
        <v>0.73076923076923073</v>
      </c>
      <c r="G36" s="219">
        <f t="shared" si="6"/>
        <v>0</v>
      </c>
      <c r="H36" s="220">
        <f t="shared" si="7"/>
        <v>0</v>
      </c>
      <c r="I36" s="191">
        <f>IF(('ErP Inputs'!$H$20)=(TRUE),IF(AND($D$20&lt;$D$16,$D$20&gt;D$15),IF($D$20=D36,$I$20,IF($D$20&gt;D36,(($I$20-$I$15)/($D$20-$D$15)*(D36-$D$20)+$I$20),(($I$16-$I$20)/($D$16-$D$20)*(D36-$D$16)+$I$16))),(($I$16-$I$15)/($D$16-$D$15)*(D36-$D$15)+$I$15)),(($I$16-$I$15)/($D$16-$D$15)*(D36-$D$15)+$I$15))</f>
        <v>0</v>
      </c>
      <c r="J36" s="219">
        <f>IF(G36&lt;(($I$16-$I$15)/($D$16-$D$15)*(D36-$D$15)+$I$15),G36,(($I$16-$I$15)/($D$16-$D$15)*(D36-$D$15)+$I$15))</f>
        <v>0</v>
      </c>
      <c r="K36" s="221">
        <f t="shared" si="9"/>
        <v>0</v>
      </c>
      <c r="L36" s="220">
        <f t="shared" si="10"/>
        <v>0</v>
      </c>
      <c r="M36" s="221" t="e">
        <f>IF(('ErP Inputs'!$H$20)=(TRUE),IF(AND($D$20&lt;$D$16,$D$20&gt;D$15),IF($D$20=D36,COPPL_Tbiv,IF($D$20&gt;D36,((COPPL_Tbiv-COPPL_a)/($D$20-$D$15)*(D36-$D$20)+COPPL_Tbiv),((COPPL_b-COPPL_Tbiv)/($D$16-$D$20)*(D36-$D$16)+COPPL_b))),((COPPL_b-COPPL_a)/($D$16-$D$15)*(D36-$D$15)+COPPL_a)),((COPPL_b-COPPL_a)/($D$16-$D$15)*(D36-$D$15)+COPPL_a))</f>
        <v>#DIV/0!</v>
      </c>
      <c r="N36" s="220" t="e">
        <f t="shared" si="13"/>
        <v>#DIV/0!</v>
      </c>
      <c r="P36" s="220">
        <f t="shared" si="8"/>
        <v>0</v>
      </c>
      <c r="Q36" s="220" t="e">
        <f t="shared" si="14"/>
        <v>#DIV/0!</v>
      </c>
      <c r="R36" s="217" t="b">
        <f t="shared" si="12"/>
        <v>0</v>
      </c>
      <c r="S36" s="260" t="str">
        <f t="shared" si="11"/>
        <v>N/A</v>
      </c>
      <c r="T36" s="211"/>
    </row>
    <row r="37" spans="3:20" x14ac:dyDescent="0.25">
      <c r="C37" s="36">
        <v>29</v>
      </c>
      <c r="D37" s="36">
        <v>-2</v>
      </c>
      <c r="E37" s="36">
        <f>HLOOKUP($D$3,'Table 37'!$B$3:$F$51,32,FALSE)</f>
        <v>165</v>
      </c>
      <c r="F37" s="219">
        <f t="shared" si="5"/>
        <v>0.69230769230769229</v>
      </c>
      <c r="G37" s="219">
        <f t="shared" si="6"/>
        <v>0</v>
      </c>
      <c r="H37" s="220">
        <f t="shared" si="7"/>
        <v>0</v>
      </c>
      <c r="I37" s="191">
        <f>IF(('ErP Inputs'!$H$20)=(TRUE),IF(AND($D$20&lt;$D$16,$D$20&gt;D$15),IF($D$20=D37,$I$20,IF($D$20&gt;D37,(($I$20-$I$15)/($D$20-$D$15)*(D37-$D$20)+$I$20),(($I$16-$I$20)/($D$16-$D$20)*(D37-$D$16)+$I$16))),(($I$16-$I$15)/($D$16-$D$15)*(D37-$D$15)+$I$15)),(($I$16-$I$15)/($D$16-$D$15)*(D37-$D$15)+$I$15))</f>
        <v>0</v>
      </c>
      <c r="J37" s="219">
        <f>IF(G37&lt;(($I$16-$I$15)/($D$16-$D$15)*(D37-$D$15)+$I$15),G37,(($I$16-$I$15)/($D$16-$D$15)*(D37-$D$15)+$I$15))</f>
        <v>0</v>
      </c>
      <c r="K37" s="221">
        <f t="shared" si="9"/>
        <v>0</v>
      </c>
      <c r="L37" s="220">
        <f t="shared" si="10"/>
        <v>0</v>
      </c>
      <c r="M37" s="221" t="e">
        <f>IF(('ErP Inputs'!$H$20)=(TRUE),IF(AND($D$20&lt;$D$16,$D$20&gt;D$15),IF($D$20=D37,COPPL_Tbiv,IF($D$20&gt;D37,((COPPL_Tbiv-COPPL_a)/($D$20-$D$15)*(D37-$D$20)+COPPL_Tbiv),((COPPL_b-COPPL_Tbiv)/($D$16-$D$20)*(D37-$D$16)+COPPL_b))),((COPPL_b-COPPL_a)/($D$16-$D$15)*(D37-$D$15)+COPPL_a)),((COPPL_b-COPPL_a)/($D$16-$D$15)*(D37-$D$15)+COPPL_a))</f>
        <v>#DIV/0!</v>
      </c>
      <c r="N37" s="220" t="e">
        <f t="shared" si="13"/>
        <v>#DIV/0!</v>
      </c>
      <c r="P37" s="220">
        <f t="shared" si="8"/>
        <v>0</v>
      </c>
      <c r="Q37" s="220" t="e">
        <f t="shared" si="14"/>
        <v>#DIV/0!</v>
      </c>
      <c r="R37" s="217" t="b">
        <f t="shared" si="12"/>
        <v>0</v>
      </c>
      <c r="S37" s="260" t="str">
        <f t="shared" si="11"/>
        <v>N/A</v>
      </c>
      <c r="T37" s="211"/>
    </row>
    <row r="38" spans="3:20" x14ac:dyDescent="0.25">
      <c r="C38" s="36">
        <v>30</v>
      </c>
      <c r="D38" s="36">
        <v>-1</v>
      </c>
      <c r="E38" s="36">
        <f>HLOOKUP($D$3,'Table 37'!$B$3:$F$51,33,FALSE)</f>
        <v>173</v>
      </c>
      <c r="F38" s="219">
        <f t="shared" si="5"/>
        <v>0.65384615384615385</v>
      </c>
      <c r="G38" s="219">
        <f t="shared" si="6"/>
        <v>0</v>
      </c>
      <c r="H38" s="220">
        <f t="shared" si="7"/>
        <v>0</v>
      </c>
      <c r="I38" s="191">
        <f>IF(('ErP Inputs'!$H$20)=(TRUE),IF(AND($D$20&lt;$D$16,$D$20&gt;D$15),IF($D$20=D38,$I$20,IF($D$20&gt;D38,(($I$20-$I$15)/($D$20-$D$15)*(D38-$D$20)+$I$20),(($I$16-$I$20)/($D$16-$D$20)*(D38-$D$16)+$I$16))),(($I$16-$I$15)/($D$16-$D$15)*(D38-$D$15)+$I$15)),(($I$16-$I$15)/($D$16-$D$15)*(D38-$D$15)+$I$15))</f>
        <v>0</v>
      </c>
      <c r="J38" s="219">
        <f>IF(G38&lt;(($I$16-$I$15)/($D$16-$D$15)*(D38-$D$15)+$I$15),G38,(($I$16-$I$15)/($D$16-$D$15)*(D38-$D$15)+$I$15))</f>
        <v>0</v>
      </c>
      <c r="K38" s="221">
        <f t="shared" si="9"/>
        <v>0</v>
      </c>
      <c r="L38" s="220">
        <f t="shared" si="10"/>
        <v>0</v>
      </c>
      <c r="M38" s="221" t="e">
        <f>IF(('ErP Inputs'!$H$20)=(TRUE),IF(AND($D$20&lt;$D$16,$D$20&gt;D$15),IF($D$20=D38,COPPL_Tbiv,IF($D$20&gt;D38,((COPPL_Tbiv-COPPL_a)/($D$20-$D$15)*(D38-$D$20)+COPPL_Tbiv),((COPPL_b-COPPL_Tbiv)/($D$16-$D$20)*(D38-$D$16)+COPPL_b))),((COPPL_b-COPPL_a)/($D$16-$D$15)*(D38-$D$15)+COPPL_a)),((COPPL_b-COPPL_a)/($D$16-$D$15)*(D38-$D$15)+COPPL_a))</f>
        <v>#DIV/0!</v>
      </c>
      <c r="N38" s="220" t="e">
        <f t="shared" si="13"/>
        <v>#DIV/0!</v>
      </c>
      <c r="P38" s="220">
        <f t="shared" si="8"/>
        <v>0</v>
      </c>
      <c r="Q38" s="220" t="e">
        <f t="shared" si="14"/>
        <v>#DIV/0!</v>
      </c>
      <c r="R38" s="217" t="b">
        <f t="shared" si="12"/>
        <v>0</v>
      </c>
      <c r="S38" s="260" t="str">
        <f t="shared" si="11"/>
        <v>N/A</v>
      </c>
      <c r="T38" s="211"/>
    </row>
    <row r="39" spans="3:20" x14ac:dyDescent="0.25">
      <c r="C39" s="36">
        <v>31</v>
      </c>
      <c r="D39" s="36">
        <v>0</v>
      </c>
      <c r="E39" s="36">
        <f>HLOOKUP($D$3,'Table 37'!$B$3:$F$51,34,FALSE)</f>
        <v>240</v>
      </c>
      <c r="F39" s="219">
        <f t="shared" si="5"/>
        <v>0.61538461538461542</v>
      </c>
      <c r="G39" s="219">
        <f t="shared" si="6"/>
        <v>0</v>
      </c>
      <c r="H39" s="220">
        <f t="shared" si="7"/>
        <v>0</v>
      </c>
      <c r="I39" s="191">
        <f>IF(('ErP Inputs'!$H$20)=(TRUE),IF(AND($D$20&lt;$D$16,$D$20&gt;D$15),IF($D$20=D39,$I$20,IF($D$20&gt;D39,(($I$20-$I$15)/($D$20-$D$15)*(D39-$D$20)+$I$20),(($I$16-$I$20)/($D$16-$D$20)*(D39-$D$16)+$I$16))),(($I$16-$I$15)/($D$16-$D$15)*(D39-$D$15)+$I$15)),(($I$16-$I$15)/($D$16-$D$15)*(D39-$D$15)+$I$15))</f>
        <v>0</v>
      </c>
      <c r="J39" s="219">
        <f>IF(G39&lt;(($I$16-$I$15)/($D$16-$D$15)*(D39-$D$15)+$I$15),G39,(($I$16-$I$15)/($D$16-$D$15)*(D39-$D$15)+$I$15))</f>
        <v>0</v>
      </c>
      <c r="K39" s="221">
        <f t="shared" si="9"/>
        <v>0</v>
      </c>
      <c r="L39" s="220">
        <f t="shared" si="10"/>
        <v>0</v>
      </c>
      <c r="M39" s="221" t="e">
        <f>IF(('ErP Inputs'!$H$20)=(TRUE),IF(AND($D$20&lt;$D$16,$D$20&gt;D$15),IF($D$20=D39,COPPL_Tbiv,IF($D$20&gt;D39,((COPPL_Tbiv-COPPL_a)/($D$20-$D$15)*(D39-$D$20)+COPPL_Tbiv),((COPPL_b-COPPL_Tbiv)/($D$16-$D$20)*(D39-$D$16)+COPPL_b))),((COPPL_b-COPPL_a)/($D$16-$D$15)*(D39-$D$15)+COPPL_a)),((COPPL_b-COPPL_a)/($D$16-$D$15)*(D39-$D$15)+COPPL_a))</f>
        <v>#DIV/0!</v>
      </c>
      <c r="N39" s="220" t="e">
        <f t="shared" si="13"/>
        <v>#DIV/0!</v>
      </c>
      <c r="P39" s="220">
        <f t="shared" si="8"/>
        <v>0</v>
      </c>
      <c r="Q39" s="220" t="e">
        <f t="shared" si="14"/>
        <v>#DIV/0!</v>
      </c>
      <c r="R39" s="217" t="b">
        <f t="shared" si="12"/>
        <v>0</v>
      </c>
      <c r="S39" s="260" t="str">
        <f t="shared" si="11"/>
        <v>N/A</v>
      </c>
      <c r="T39" s="211"/>
    </row>
    <row r="40" spans="3:20" x14ac:dyDescent="0.25">
      <c r="C40" s="36">
        <v>32</v>
      </c>
      <c r="D40" s="36">
        <v>1</v>
      </c>
      <c r="E40" s="36">
        <f>HLOOKUP($D$3,'Table 37'!$B$3:$F$51,35,FALSE)</f>
        <v>280</v>
      </c>
      <c r="F40" s="219">
        <f t="shared" si="5"/>
        <v>0.57692307692307687</v>
      </c>
      <c r="G40" s="219">
        <f t="shared" si="6"/>
        <v>0</v>
      </c>
      <c r="H40" s="220">
        <f t="shared" si="7"/>
        <v>0</v>
      </c>
      <c r="I40" s="191">
        <f>IF(('ErP Inputs'!$H$20)=(TRUE),IF(AND($D$20&lt;$D$16,$D$20&gt;D$15),IF($D$20=D40,$I$20,IF($D$20&gt;D40,(($I$20-$I$15)/($D$20-$D$15)*(D40-$D$20)+$I$20),(($I$16-$I$20)/($D$16-$D$20)*(D40-$D$16)+$I$16))),(($I$16-$I$15)/($D$16-$D$15)*(D40-$D$15)+$I$15)),(($I$16-$I$15)/($D$16-$D$15)*(D40-$D$15)+$I$15))</f>
        <v>0</v>
      </c>
      <c r="J40" s="219">
        <f>IF(G40&lt;(($I$16-$I$15)/($D$16-$D$15)*(D40-$D$15)+$I$15),G40,(($I$16-$I$15)/($D$16-$D$15)*(D40-$D$15)+$I$15))</f>
        <v>0</v>
      </c>
      <c r="K40" s="221">
        <f t="shared" si="9"/>
        <v>0</v>
      </c>
      <c r="L40" s="220">
        <f t="shared" si="10"/>
        <v>0</v>
      </c>
      <c r="M40" s="221" t="e">
        <f>IF(('ErP Inputs'!$H$20)=(TRUE),IF(AND($D$20&lt;$D$16,$D$20&gt;D$15),IF($D$20=D40,COPPL_Tbiv,IF($D$20&gt;D40,((COPPL_Tbiv-COPPL_a)/($D$20-$D$15)*(D40-$D$20)+COPPL_Tbiv),((COPPL_b-COPPL_Tbiv)/($D$16-$D$20)*(D40-$D$16)+COPPL_b))),((COPPL_b-COPPL_a)/($D$16-$D$15)*(D40-$D$15)+COPPL_a)),((COPPL_b-COPPL_a)/($D$16-$D$15)*(D40-$D$15)+COPPL_a))</f>
        <v>#DIV/0!</v>
      </c>
      <c r="N40" s="220" t="e">
        <f t="shared" si="13"/>
        <v>#DIV/0!</v>
      </c>
      <c r="P40" s="220">
        <f t="shared" si="8"/>
        <v>0</v>
      </c>
      <c r="Q40" s="220" t="e">
        <f t="shared" si="14"/>
        <v>#DIV/0!</v>
      </c>
      <c r="R40" s="217" t="b">
        <f t="shared" si="12"/>
        <v>0</v>
      </c>
      <c r="S40" s="260" t="str">
        <f t="shared" si="11"/>
        <v>N/A</v>
      </c>
      <c r="T40" s="211"/>
    </row>
    <row r="41" spans="3:20" x14ac:dyDescent="0.25">
      <c r="C41" s="36">
        <v>33</v>
      </c>
      <c r="D41" s="36">
        <v>2</v>
      </c>
      <c r="E41" s="36">
        <f>HLOOKUP($D$3,'Table 37'!$B$3:$F$51,36,FALSE)</f>
        <v>320</v>
      </c>
      <c r="F41" s="219">
        <f t="shared" si="5"/>
        <v>0.53846153846153844</v>
      </c>
      <c r="G41" s="219">
        <f t="shared" si="6"/>
        <v>0</v>
      </c>
      <c r="H41" s="220">
        <f t="shared" si="7"/>
        <v>0</v>
      </c>
      <c r="I41" s="157">
        <f>I16</f>
        <v>0</v>
      </c>
      <c r="J41" s="157">
        <f>IF(G41&lt;I16,G41,I16)</f>
        <v>0</v>
      </c>
      <c r="K41" s="221">
        <f t="shared" si="9"/>
        <v>0</v>
      </c>
      <c r="L41" s="220">
        <f t="shared" si="10"/>
        <v>0</v>
      </c>
      <c r="M41" s="244" t="e">
        <f>COPPL_b</f>
        <v>#DIV/0!</v>
      </c>
      <c r="N41" s="220" t="e">
        <f t="shared" si="13"/>
        <v>#DIV/0!</v>
      </c>
      <c r="P41" s="220">
        <f t="shared" si="8"/>
        <v>0</v>
      </c>
      <c r="Q41" s="220" t="e">
        <f t="shared" si="14"/>
        <v>#DIV/0!</v>
      </c>
      <c r="R41" s="217" t="b">
        <f t="shared" si="12"/>
        <v>0</v>
      </c>
      <c r="S41" s="260" t="str">
        <f t="shared" si="11"/>
        <v>N/A</v>
      </c>
      <c r="T41" s="211"/>
    </row>
    <row r="42" spans="3:20" x14ac:dyDescent="0.25">
      <c r="C42" s="36">
        <v>34</v>
      </c>
      <c r="D42" s="36">
        <v>3</v>
      </c>
      <c r="E42" s="36">
        <f>HLOOKUP($D$3,'Table 37'!$B$3:$F$51,37,FALSE)</f>
        <v>357</v>
      </c>
      <c r="F42" s="219">
        <f t="shared" si="5"/>
        <v>0.5</v>
      </c>
      <c r="G42" s="219">
        <f t="shared" si="6"/>
        <v>0</v>
      </c>
      <c r="H42" s="220">
        <f t="shared" si="7"/>
        <v>0</v>
      </c>
      <c r="I42" s="219">
        <f>IF(('ErP Inputs'!$H$20)=(TRUE),IF(AND($D$20&lt;$D$17,$D$20&gt;D$16),IF($D$20=D42,$I$20,IF($D$20&gt;D42,(($I$20-$I$16)/($D$20-$D$16)*(D42-$D$20)+$I$20),(($I$17-$I$20)/($D$17-$D$20)*(D42-$D$17)+$I$17))),(($I$17-$I$16)/($D$17-$D$16)*(D42-$D$16)+$I$16)),(($I$17-$I$16)/($D$17-$D$16)*(D42-$D$16)+$I$16))</f>
        <v>0</v>
      </c>
      <c r="J42" s="219">
        <f>IF(G42&lt;(($I$17-$I$16)/($D$17-$D$16)*(D42-$D$16)+$I$16),G42,(($I$17-$I$16)/($D$17-$D$16)*(D42-$D$16)+$I$16))</f>
        <v>0</v>
      </c>
      <c r="K42" s="221">
        <f t="shared" si="9"/>
        <v>0</v>
      </c>
      <c r="L42" s="220">
        <f t="shared" si="10"/>
        <v>0</v>
      </c>
      <c r="M42" s="221" t="e">
        <f>IF(('ErP Inputs'!$H$20)=(TRUE),IF(AND($D$20&lt;$D$17,$D$20&gt;D$16),IF($D$20=D42,COPPL_Tbiv,IF($D$20&gt;D42,((COPPL_Tbiv-COPPL_b)/($D$20-$D$16)*(D42-$D$20)+COPPL_Tbiv),((COPPL_c-COPPL_Tbiv)/($D$17-$D$20)*(D42-$D$17)+COPPL_c))),((COPPL_c-COPPL_b)/($D$17-$D$16)*(D42-$D$16)+COPPL_b)),((COPPL_c-COPPL_b)/($D$17-$D$16)*(D42-$D$16)+COPPL_b))</f>
        <v>#DIV/0!</v>
      </c>
      <c r="N42" s="220" t="e">
        <f t="shared" si="13"/>
        <v>#DIV/0!</v>
      </c>
      <c r="P42" s="220">
        <f t="shared" si="8"/>
        <v>0</v>
      </c>
      <c r="Q42" s="220" t="e">
        <f t="shared" si="14"/>
        <v>#DIV/0!</v>
      </c>
      <c r="R42" s="217" t="b">
        <f t="shared" si="12"/>
        <v>0</v>
      </c>
      <c r="S42" s="260" t="str">
        <f t="shared" si="11"/>
        <v>N/A</v>
      </c>
      <c r="T42" s="211"/>
    </row>
    <row r="43" spans="3:20" x14ac:dyDescent="0.25">
      <c r="C43" s="36">
        <v>35</v>
      </c>
      <c r="D43" s="36">
        <v>4</v>
      </c>
      <c r="E43" s="36">
        <f>HLOOKUP($D$3,'Table 37'!$B$3:$F$51,38,FALSE)</f>
        <v>356</v>
      </c>
      <c r="F43" s="219">
        <f t="shared" si="5"/>
        <v>0.46153846153846156</v>
      </c>
      <c r="G43" s="219">
        <f t="shared" si="6"/>
        <v>0</v>
      </c>
      <c r="H43" s="220">
        <f t="shared" si="7"/>
        <v>0</v>
      </c>
      <c r="I43" s="219">
        <f>IF(('ErP Inputs'!$H$20)=(TRUE),IF(AND($D$20&lt;$D$17,$D$20&gt;D$16),IF($D$20=D43,$I$20,IF($D$20&gt;D43,(($I$20-$I$16)/($D$20-$D$16)*(D43-$D$20)+$I$20),(($I$17-$I$20)/($D$17-$D$20)*(D43-$D$17)+$I$17))),(($I$17-$I$16)/($D$17-$D$16)*(D43-$D$16)+$I$16)),(($I$17-$I$16)/($D$17-$D$16)*(D43-$D$16)+$I$16))</f>
        <v>0</v>
      </c>
      <c r="J43" s="219">
        <f>IF(G43&lt;(($I$17-$I$16)/($D$17-$D$16)*(D43-$D$16)+$I$16),G43,(($I$17-$I$16)/($D$17-$D$16)*(D43-$D$16)+$I$16))</f>
        <v>0</v>
      </c>
      <c r="K43" s="221">
        <f t="shared" si="9"/>
        <v>0</v>
      </c>
      <c r="L43" s="220">
        <f t="shared" si="10"/>
        <v>0</v>
      </c>
      <c r="M43" s="221" t="e">
        <f>IF(('ErP Inputs'!$H$20)=(TRUE),IF(AND($D$20&lt;$D$17,$D$20&gt;D$16),IF($D$20=D43,COPPL_Tbiv,IF($D$20&gt;D43,((COPPL_Tbiv-COPPL_b)/($D$20-$D$16)*(D43-$D$20)+COPPL_Tbiv),((COPPL_c-COPPL_Tbiv)/($D$17-$D$20)*(D43-$D$17)+COPPL_c))),((COPPL_c-COPPL_b)/($D$17-$D$16)*(D43-$D$16)+COPPL_b)),((COPPL_c-COPPL_b)/($D$17-$D$16)*(D43-$D$16)+COPPL_b))</f>
        <v>#DIV/0!</v>
      </c>
      <c r="N43" s="220" t="e">
        <f t="shared" si="13"/>
        <v>#DIV/0!</v>
      </c>
      <c r="P43" s="220">
        <f t="shared" si="8"/>
        <v>0</v>
      </c>
      <c r="Q43" s="220" t="e">
        <f t="shared" si="14"/>
        <v>#DIV/0!</v>
      </c>
      <c r="R43" s="217" t="b">
        <f t="shared" si="12"/>
        <v>0</v>
      </c>
      <c r="S43" s="260" t="str">
        <f t="shared" si="11"/>
        <v>N/A</v>
      </c>
      <c r="T43" s="211"/>
    </row>
    <row r="44" spans="3:20" x14ac:dyDescent="0.25">
      <c r="C44" s="36">
        <v>36</v>
      </c>
      <c r="D44" s="36">
        <v>5</v>
      </c>
      <c r="E44" s="36">
        <f>HLOOKUP($D$3,'Table 37'!$B$3:$F$51,39,FALSE)</f>
        <v>303</v>
      </c>
      <c r="F44" s="219">
        <f t="shared" si="5"/>
        <v>0.42307692307692307</v>
      </c>
      <c r="G44" s="219">
        <f t="shared" si="6"/>
        <v>0</v>
      </c>
      <c r="H44" s="220">
        <f t="shared" si="7"/>
        <v>0</v>
      </c>
      <c r="I44" s="219">
        <f>IF(('ErP Inputs'!$H$20)=(TRUE),IF(AND($D$20&lt;$D$17,$D$20&gt;D$16),IF($D$20=D44,$I$20,IF($D$20&gt;D44,(($I$20-$I$16)/($D$20-$D$16)*(D44-$D$20)+$I$20),(($I$17-$I$20)/($D$17-$D$20)*(D44-$D$17)+$I$17))),(($I$17-$I$16)/($D$17-$D$16)*(D44-$D$16)+$I$16)),(($I$17-$I$16)/($D$17-$D$16)*(D44-$D$16)+$I$16))</f>
        <v>0</v>
      </c>
      <c r="J44" s="219">
        <f>IF(G44&lt;(($I$17-$I$16)/($D$17-$D$16)*(D44-$D$16)+$I$16),G44,(($I$17-$I$16)/($D$17-$D$16)*(D44-$D$16)+$I$16))</f>
        <v>0</v>
      </c>
      <c r="K44" s="221">
        <f t="shared" si="9"/>
        <v>0</v>
      </c>
      <c r="L44" s="220">
        <f t="shared" si="10"/>
        <v>0</v>
      </c>
      <c r="M44" s="221" t="e">
        <f>IF(('ErP Inputs'!$H$20)=(TRUE),IF(AND($D$20&lt;$D$17,$D$20&gt;D$16),IF($D$20=D44,COPPL_Tbiv,IF($D$20&gt;D44,((COPPL_Tbiv-COPPL_b)/($D$20-$D$16)*(D44-$D$20)+COPPL_Tbiv),((COPPL_c-COPPL_Tbiv)/($D$17-$D$20)*(D44-$D$17)+COPPL_c))),((COPPL_c-COPPL_b)/($D$17-$D$16)*(D44-$D$16)+COPPL_b)),((COPPL_c-COPPL_b)/($D$17-$D$16)*(D44-$D$16)+COPPL_b))</f>
        <v>#DIV/0!</v>
      </c>
      <c r="N44" s="220" t="e">
        <f t="shared" si="13"/>
        <v>#DIV/0!</v>
      </c>
      <c r="P44" s="220">
        <f t="shared" si="8"/>
        <v>0</v>
      </c>
      <c r="Q44" s="220" t="e">
        <f t="shared" si="14"/>
        <v>#DIV/0!</v>
      </c>
      <c r="R44" s="217" t="b">
        <f t="shared" si="12"/>
        <v>0</v>
      </c>
      <c r="S44" s="260" t="str">
        <f t="shared" si="11"/>
        <v>N/A</v>
      </c>
      <c r="T44" s="211"/>
    </row>
    <row r="45" spans="3:20" x14ac:dyDescent="0.25">
      <c r="C45" s="36">
        <v>37</v>
      </c>
      <c r="D45" s="36">
        <v>6</v>
      </c>
      <c r="E45" s="36">
        <f>HLOOKUP($D$3,'Table 37'!$B$3:$F$51,40,FALSE)</f>
        <v>330</v>
      </c>
      <c r="F45" s="219">
        <f t="shared" si="5"/>
        <v>0.38461538461538464</v>
      </c>
      <c r="G45" s="219">
        <f t="shared" si="6"/>
        <v>0</v>
      </c>
      <c r="H45" s="220">
        <f t="shared" si="7"/>
        <v>0</v>
      </c>
      <c r="I45" s="219">
        <f>IF(('ErP Inputs'!$H$20)=(TRUE),IF(AND($D$20&lt;$D$17,$D$20&gt;D$16),IF($D$20=D45,$I$20,IF($D$20&gt;D45,(($I$20-$I$16)/($D$20-$D$16)*(D45-$D$20)+$I$20),(($I$17-$I$20)/($D$17-$D$20)*(D45-$D$17)+$I$17))),(($I$17-$I$16)/($D$17-$D$16)*(D45-$D$16)+$I$16)),(($I$17-$I$16)/($D$17-$D$16)*(D45-$D$16)+$I$16))</f>
        <v>0</v>
      </c>
      <c r="J45" s="219">
        <f>IF(G45&lt;(($I$17-$I$16)/($D$17-$D$16)*(D45-$D$16)+$I$16),G45,(($I$17-$I$16)/($D$17-$D$16)*(D45-$D$16)+$I$16))</f>
        <v>0</v>
      </c>
      <c r="K45" s="221">
        <f t="shared" si="9"/>
        <v>0</v>
      </c>
      <c r="L45" s="220">
        <f t="shared" si="10"/>
        <v>0</v>
      </c>
      <c r="M45" s="221" t="e">
        <f>IF(('ErP Inputs'!$H$20)=(TRUE),IF(AND($D$20&lt;$D$17,$D$20&gt;D$16),IF($D$20=D45,COPPL_Tbiv,IF($D$20&gt;D45,((COPPL_Tbiv-COPPL_b)/($D$20-$D$16)*(D45-$D$20)+COPPL_Tbiv),((COPPL_c-COPPL_Tbiv)/($D$17-$D$20)*(D45-$D$17)+COPPL_c))),((COPPL_c-COPPL_b)/($D$17-$D$16)*(D45-$D$16)+COPPL_b)),((COPPL_c-COPPL_b)/($D$17-$D$16)*(D45-$D$16)+COPPL_b))</f>
        <v>#DIV/0!</v>
      </c>
      <c r="N45" s="220" t="e">
        <f t="shared" si="13"/>
        <v>#DIV/0!</v>
      </c>
      <c r="P45" s="220">
        <f t="shared" si="8"/>
        <v>0</v>
      </c>
      <c r="Q45" s="220" t="e">
        <f t="shared" si="14"/>
        <v>#DIV/0!</v>
      </c>
      <c r="R45" s="217" t="b">
        <f t="shared" si="12"/>
        <v>0</v>
      </c>
      <c r="S45" s="260" t="str">
        <f t="shared" si="11"/>
        <v>N/A</v>
      </c>
      <c r="T45" s="211"/>
    </row>
    <row r="46" spans="3:20" x14ac:dyDescent="0.25">
      <c r="C46" s="36">
        <v>38</v>
      </c>
      <c r="D46" s="36">
        <v>7</v>
      </c>
      <c r="E46" s="36">
        <f>HLOOKUP($D$3,'Table 37'!$B$3:$F$51,41,FALSE)</f>
        <v>326</v>
      </c>
      <c r="F46" s="219">
        <f t="shared" si="5"/>
        <v>0.34615384615384615</v>
      </c>
      <c r="G46" s="219">
        <f t="shared" si="6"/>
        <v>0</v>
      </c>
      <c r="H46" s="220">
        <f t="shared" si="7"/>
        <v>0</v>
      </c>
      <c r="I46" s="157">
        <f>I17</f>
        <v>0</v>
      </c>
      <c r="J46" s="157">
        <f>IF(G46&lt;I17,G46,I17)</f>
        <v>0</v>
      </c>
      <c r="K46" s="221">
        <f t="shared" si="9"/>
        <v>0</v>
      </c>
      <c r="L46" s="220">
        <f t="shared" si="10"/>
        <v>0</v>
      </c>
      <c r="M46" s="244" t="e">
        <f>COPPL_c</f>
        <v>#DIV/0!</v>
      </c>
      <c r="N46" s="220" t="e">
        <f t="shared" si="13"/>
        <v>#DIV/0!</v>
      </c>
      <c r="P46" s="220">
        <f t="shared" si="8"/>
        <v>0</v>
      </c>
      <c r="Q46" s="220" t="e">
        <f t="shared" si="14"/>
        <v>#DIV/0!</v>
      </c>
      <c r="R46" s="217" t="b">
        <f t="shared" si="12"/>
        <v>0</v>
      </c>
      <c r="S46" s="260" t="str">
        <f t="shared" si="11"/>
        <v>N/A</v>
      </c>
      <c r="T46" s="211"/>
    </row>
    <row r="47" spans="3:20" x14ac:dyDescent="0.25">
      <c r="C47" s="36">
        <v>39</v>
      </c>
      <c r="D47" s="36">
        <v>8</v>
      </c>
      <c r="E47" s="36">
        <f>HLOOKUP($D$3,'Table 37'!$B$3:$F$51,42,FALSE)</f>
        <v>348</v>
      </c>
      <c r="F47" s="219">
        <f t="shared" si="5"/>
        <v>0.30769230769230771</v>
      </c>
      <c r="G47" s="219">
        <f t="shared" si="6"/>
        <v>0</v>
      </c>
      <c r="H47" s="220">
        <f t="shared" si="7"/>
        <v>0</v>
      </c>
      <c r="I47" s="219">
        <f>IF(('ErP Inputs'!$H$20)=(TRUE),IF(AND($D$20&lt;$D$18,$D$20&gt;D$17),IF($D$20=D47,$I$20,IF($D$20&gt;D47,(($I$20-$I$17)/($D$20-$D$17)*(D47-$D$20)+$I$20),(($I$18-$I$20)/($D$18-$D$20)*(D47-$D$18)+$I$18))),(($I$18-$I$17)/($D$18-$D$17)*(D47-$D$17)+$I$17)),(($I$18-$I$17)/($D$18-$D$17)*(D47-$D$17)+$I$17))</f>
        <v>0</v>
      </c>
      <c r="J47" s="219">
        <f>IF(G47&lt;(($I$18-$I$17)/($D$18-$D$17)*(D47-$D$17)+$I$17),G47,((($I$18-$I$17)/($D$18-$D$17)*(D47-$D$17)+$I$17)))</f>
        <v>0</v>
      </c>
      <c r="K47" s="221">
        <f t="shared" si="9"/>
        <v>0</v>
      </c>
      <c r="L47" s="220">
        <f t="shared" si="10"/>
        <v>0</v>
      </c>
      <c r="M47" s="221" t="e">
        <f>IF(('ErP Inputs'!$H$20)=(TRUE),IF(AND($D$20&lt;$D$18,$D$20&gt;D$17),IF($D$20=D47,COPPL_Tbiv,IF($D$20&gt;D47,((COPPL_Tbiv-COPPL_c)/($D$20-$D$17)*(D47-$D$20)+COPPL_Tbiv),((COPPL_d-COPPL_Tbiv)/($D$18-$D$20)*(D47-$D$18)+COPPL_d))),((COPPL_d-COPPL_c)/($D$18-$D$17)*(D47-$D$17)+COPPL_c)),((COPPL_d-COPPL_c)/($D$18-$D$17)*(D47-$D$17)+COPPL_c))</f>
        <v>#DIV/0!</v>
      </c>
      <c r="N47" s="220" t="e">
        <f t="shared" si="13"/>
        <v>#DIV/0!</v>
      </c>
      <c r="P47" s="220">
        <f t="shared" si="8"/>
        <v>0</v>
      </c>
      <c r="Q47" s="220" t="e">
        <f t="shared" si="14"/>
        <v>#DIV/0!</v>
      </c>
      <c r="R47" s="217" t="b">
        <f t="shared" si="12"/>
        <v>0</v>
      </c>
      <c r="S47" s="260" t="str">
        <f t="shared" si="11"/>
        <v>N/A</v>
      </c>
      <c r="T47" s="211"/>
    </row>
    <row r="48" spans="3:20" x14ac:dyDescent="0.25">
      <c r="C48" s="36">
        <v>40</v>
      </c>
      <c r="D48" s="36">
        <v>9</v>
      </c>
      <c r="E48" s="36">
        <f>HLOOKUP($D$3,'Table 37'!$B$3:$F$51,43,FALSE)</f>
        <v>335</v>
      </c>
      <c r="F48" s="219">
        <f t="shared" si="5"/>
        <v>0.26923076923076922</v>
      </c>
      <c r="G48" s="219">
        <f t="shared" si="6"/>
        <v>0</v>
      </c>
      <c r="H48" s="220">
        <f t="shared" si="7"/>
        <v>0</v>
      </c>
      <c r="I48" s="219">
        <f>IF(('ErP Inputs'!$H$20)=(TRUE),IF(AND($D$20&lt;$D$18,$D$20&gt;D$17),IF($D$20=D48,$I$20,IF($D$20&gt;D48,(($I$20-$I$17)/($D$20-$D$17)*(D48-$D$20)+$I$20),(($I$18-$I$20)/($D$18-$D$20)*(D48-$D$18)+$I$18))),(($I$18-$I$17)/($D$18-$D$17)*(D48-$D$17)+$I$17)),(($I$18-$I$17)/($D$18-$D$17)*(D48-$D$17)+$I$17))</f>
        <v>0</v>
      </c>
      <c r="J48" s="219">
        <f>IF(G48&lt;(($I$18-$I$17)/($D$18-$D$17)*(D48-$D$17)+$I$17),G48,((($I$18-$I$17)/($D$18-$D$17)*(D48-$D$17)+$I$17)))</f>
        <v>0</v>
      </c>
      <c r="K48" s="221">
        <f t="shared" si="9"/>
        <v>0</v>
      </c>
      <c r="L48" s="220">
        <f t="shared" si="10"/>
        <v>0</v>
      </c>
      <c r="M48" s="221" t="e">
        <f>IF(('ErP Inputs'!$H$20)=(TRUE),IF(AND($D$20&lt;$D$18,$D$20&gt;D$17),IF($D$20=D48,COPPL_Tbiv,IF($D$20&gt;D48,((COPPL_Tbiv-COPPL_c)/($D$20-$D$17)*(D48-$D$20)+COPPL_Tbiv),((COPPL_d-COPPL_Tbiv)/($D$18-$D$20)*(D48-$D$18)+COPPL_d))),((COPPL_d-COPPL_c)/($D$18-$D$17)*(D48-$D$17)+COPPL_c)),((COPPL_d-COPPL_c)/($D$18-$D$17)*(D48-$D$17)+COPPL_c))</f>
        <v>#DIV/0!</v>
      </c>
      <c r="N48" s="220" t="e">
        <f t="shared" si="13"/>
        <v>#DIV/0!</v>
      </c>
      <c r="P48" s="220">
        <f t="shared" si="8"/>
        <v>0</v>
      </c>
      <c r="Q48" s="220" t="e">
        <f t="shared" si="14"/>
        <v>#DIV/0!</v>
      </c>
      <c r="R48" s="217" t="b">
        <f t="shared" si="12"/>
        <v>0</v>
      </c>
      <c r="S48" s="260" t="str">
        <f t="shared" si="11"/>
        <v>N/A</v>
      </c>
      <c r="T48" s="211"/>
    </row>
    <row r="49" spans="3:24" x14ac:dyDescent="0.25">
      <c r="C49" s="36">
        <v>41</v>
      </c>
      <c r="D49" s="36">
        <v>10</v>
      </c>
      <c r="E49" s="36">
        <f>HLOOKUP($D$3,'Table 37'!$B$3:$F$51,44,FALSE)</f>
        <v>315</v>
      </c>
      <c r="F49" s="219">
        <f t="shared" si="5"/>
        <v>0.23076923076923078</v>
      </c>
      <c r="G49" s="219">
        <f t="shared" si="6"/>
        <v>0</v>
      </c>
      <c r="H49" s="220">
        <f t="shared" si="7"/>
        <v>0</v>
      </c>
      <c r="I49" s="219">
        <f>IF(('ErP Inputs'!$H$20)=(TRUE),IF(AND($D$20&lt;$D$18,$D$20&gt;D$17),IF($D$20=D49,$I$20,IF($D$20&gt;D49,(($I$20-$I$17)/($D$20-$D$17)*(D49-$D$20)+$I$20),(($I$18-$I$20)/($D$18-$D$20)*(D49-$D$18)+$I$18))),(($I$18-$I$17)/($D$18-$D$17)*(D49-$D$17)+$I$17)),(($I$18-$I$17)/($D$18-$D$17)*(D49-$D$17)+$I$17))</f>
        <v>0</v>
      </c>
      <c r="J49" s="219">
        <f>IF(G49&lt;(($I$18-$I$17)/($D$18-$D$17)*(D49-$D$17)+$I$17),G49,((($I$18-$I$17)/($D$18-$D$17)*(D49-$D$17)+$I$17)))</f>
        <v>0</v>
      </c>
      <c r="K49" s="221">
        <f t="shared" si="9"/>
        <v>0</v>
      </c>
      <c r="L49" s="220">
        <f t="shared" si="10"/>
        <v>0</v>
      </c>
      <c r="M49" s="221" t="e">
        <f>IF(('ErP Inputs'!$H$20)=(TRUE),IF(AND($D$20&lt;$D$18,$D$20&gt;D$17),IF($D$20=D49,COPPL_Tbiv,IF($D$20&gt;D49,((COPPL_Tbiv-COPPL_c)/($D$20-$D$17)*(D49-$D$20)+COPPL_Tbiv),((COPPL_d-COPPL_Tbiv)/($D$18-$D$20)*(D49-$D$18)+COPPL_d))),((COPPL_d-COPPL_c)/($D$18-$D$17)*(D49-$D$17)+COPPL_c)),((COPPL_d-COPPL_c)/($D$18-$D$17)*(D49-$D$17)+COPPL_c))</f>
        <v>#DIV/0!</v>
      </c>
      <c r="N49" s="220" t="e">
        <f t="shared" si="13"/>
        <v>#DIV/0!</v>
      </c>
      <c r="P49" s="220">
        <f t="shared" si="8"/>
        <v>0</v>
      </c>
      <c r="Q49" s="220" t="e">
        <f t="shared" si="14"/>
        <v>#DIV/0!</v>
      </c>
      <c r="R49" s="217" t="b">
        <f t="shared" si="12"/>
        <v>0</v>
      </c>
      <c r="S49" s="260" t="str">
        <f t="shared" si="11"/>
        <v>N/A</v>
      </c>
      <c r="T49" s="211"/>
    </row>
    <row r="50" spans="3:24" x14ac:dyDescent="0.25">
      <c r="C50" s="36">
        <v>42</v>
      </c>
      <c r="D50" s="36">
        <v>11</v>
      </c>
      <c r="E50" s="36">
        <f>HLOOKUP($D$3,'Table 37'!$B$3:$F$51,45,FALSE)</f>
        <v>215</v>
      </c>
      <c r="F50" s="219">
        <f t="shared" si="5"/>
        <v>0.19230769230769232</v>
      </c>
      <c r="G50" s="219">
        <f t="shared" si="6"/>
        <v>0</v>
      </c>
      <c r="H50" s="220">
        <f t="shared" si="7"/>
        <v>0</v>
      </c>
      <c r="I50" s="219">
        <f>IF(('ErP Inputs'!$H$20)=(TRUE),IF(AND($D$20&lt;$D$18,$D$20&gt;D$17),IF($D$20=D50,$I$20,IF($D$20&gt;D50,(($I$20-$I$17)/($D$20-$D$17)*(D50-$D$20)+$I$20),(($I$18-$I$20)/($D$18-$D$20)*(D50-$D$18)+$I$18))),(($I$18-$I$17)/($D$18-$D$17)*(D50-$D$17)+$I$17)),(($I$18-$I$17)/($D$18-$D$17)*(D50-$D$17)+$I$17))</f>
        <v>0</v>
      </c>
      <c r="J50" s="219">
        <f>IF(G50&lt;(($I$18-$I$17)/($D$18-$D$17)*(D50-$D$17)+$I$17),G50,((($I$18-$I$17)/($D$18-$D$17)*(D50-$D$17)+$I$17)))</f>
        <v>0</v>
      </c>
      <c r="K50" s="221">
        <f t="shared" si="9"/>
        <v>0</v>
      </c>
      <c r="L50" s="220">
        <f t="shared" si="10"/>
        <v>0</v>
      </c>
      <c r="M50" s="221" t="e">
        <f>IF(('ErP Inputs'!$H$20)=(TRUE),IF(AND($D$20&lt;$D$18,$D$20&gt;D$17),IF($D$20=D50,COPPL_Tbiv,IF($D$20&gt;D50,((COPPL_Tbiv-COPPL_c)/($D$20-$D$17)*(D50-$D$20)+COPPL_Tbiv),((COPPL_d-COPPL_Tbiv)/($D$18-$D$20)*(D50-$D$18)+COPPL_d))),((COPPL_d-COPPL_c)/($D$18-$D$17)*(D50-$D$17)+COPPL_c)),((COPPL_d-COPPL_c)/($D$18-$D$17)*(D50-$D$17)+COPPL_c))</f>
        <v>#DIV/0!</v>
      </c>
      <c r="N50" s="220" t="e">
        <f t="shared" si="13"/>
        <v>#DIV/0!</v>
      </c>
      <c r="P50" s="220">
        <f t="shared" si="8"/>
        <v>0</v>
      </c>
      <c r="Q50" s="220" t="e">
        <f t="shared" si="14"/>
        <v>#DIV/0!</v>
      </c>
      <c r="R50" s="217" t="b">
        <f t="shared" si="12"/>
        <v>0</v>
      </c>
      <c r="S50" s="260" t="str">
        <f t="shared" si="11"/>
        <v>N/A</v>
      </c>
      <c r="T50" s="211"/>
    </row>
    <row r="51" spans="3:24" x14ac:dyDescent="0.25">
      <c r="C51" s="36">
        <v>43</v>
      </c>
      <c r="D51" s="36">
        <v>12</v>
      </c>
      <c r="E51" s="36">
        <f>HLOOKUP($D$3,'Table 37'!$B$3:$F$51,46,FALSE)</f>
        <v>169</v>
      </c>
      <c r="F51" s="219">
        <f t="shared" si="5"/>
        <v>0.15384615384615385</v>
      </c>
      <c r="G51" s="219">
        <f t="shared" si="6"/>
        <v>0</v>
      </c>
      <c r="H51" s="220">
        <f t="shared" si="7"/>
        <v>0</v>
      </c>
      <c r="I51" s="157">
        <f>I18</f>
        <v>0</v>
      </c>
      <c r="J51" s="157">
        <f>IF(G51&lt;I18,G51,I18)</f>
        <v>0</v>
      </c>
      <c r="K51" s="221">
        <f t="shared" si="9"/>
        <v>0</v>
      </c>
      <c r="L51" s="220">
        <f t="shared" si="10"/>
        <v>0</v>
      </c>
      <c r="M51" s="244" t="e">
        <f>COPPL_d</f>
        <v>#DIV/0!</v>
      </c>
      <c r="N51" s="220" t="e">
        <f t="shared" si="13"/>
        <v>#DIV/0!</v>
      </c>
      <c r="P51" s="220">
        <f t="shared" si="8"/>
        <v>0</v>
      </c>
      <c r="Q51" s="220" t="e">
        <f t="shared" si="14"/>
        <v>#DIV/0!</v>
      </c>
      <c r="R51" s="217" t="b">
        <f t="shared" si="12"/>
        <v>0</v>
      </c>
      <c r="S51" s="260" t="str">
        <f t="shared" si="11"/>
        <v>N/A</v>
      </c>
      <c r="T51" s="211"/>
    </row>
    <row r="52" spans="3:24" x14ac:dyDescent="0.25">
      <c r="C52" s="36">
        <v>44</v>
      </c>
      <c r="D52" s="36">
        <v>13</v>
      </c>
      <c r="E52" s="36">
        <f>HLOOKUP($D$3,'Table 37'!$B$3:$F$51,47,FALSE)</f>
        <v>151</v>
      </c>
      <c r="F52" s="219">
        <f t="shared" si="5"/>
        <v>0.11538461538461539</v>
      </c>
      <c r="G52" s="219">
        <f t="shared" si="6"/>
        <v>0</v>
      </c>
      <c r="H52" s="220">
        <f t="shared" si="7"/>
        <v>0</v>
      </c>
      <c r="I52" s="219">
        <f>IF(('ErP Inputs'!$H$20)=(TRUE),IF(AND($D$20=$D$54,$D$20&gt;D$18),IF($D$20=D52,$I$20,IF($D$20&gt;D52,(($I$20-$I$18)/($D$20-$D$18)*(D52-$D$20)+$I$20),(($I$54-$I$20)/($D$54-$D$20)*(D52-$D$54)+$I$54))),(($I$18-$I$17)/($D$18-$D$17)*(D52-$D$17)+$I$17)),(($I$18-$I$17)/($D$18-$D$17)*(D52-$D$17)+$I$17))</f>
        <v>0</v>
      </c>
      <c r="J52" s="219">
        <f>IF(G52&lt;(($I$18-$I$17)/($D$18-$D$17)*(D52-$D$17)+$I$17),G52,((($I$18-$I$17)/($D$18-$D$17)*(D52-$D$17)+$I$17)))</f>
        <v>0</v>
      </c>
      <c r="K52" s="221">
        <f t="shared" si="9"/>
        <v>0</v>
      </c>
      <c r="L52" s="220">
        <f t="shared" si="10"/>
        <v>0</v>
      </c>
      <c r="M52" s="221" t="e">
        <f>IF(('ErP Inputs'!$H$20)=(TRUE),IF(AND($D$20=$D$54,$D$20&gt;D$18),IF($D$20=D52,COPPL_Tbiv,IF($D$20&gt;D52,((COPPL_Tbiv-COPPL_d)/($D$20-$D$18)*(D52-$D$20)+COPPL_Tbiv),(($M$54-COPPL_Tbiv)/($D$54-$D$20)*(D52-$D$54)+$M$54))),((COPPL_d-COPPL_c)/($D$18-$D$17)*(D52-$D$17)+COPPL_c)),((COPPL_d-COPPL_c)/($D$18-$D$17)*(D52-$D$17)+COPPL_c))</f>
        <v>#DIV/0!</v>
      </c>
      <c r="N52" s="220" t="e">
        <f t="shared" si="13"/>
        <v>#DIV/0!</v>
      </c>
      <c r="P52" s="220">
        <f t="shared" si="8"/>
        <v>0</v>
      </c>
      <c r="Q52" s="220" t="e">
        <f t="shared" si="14"/>
        <v>#DIV/0!</v>
      </c>
      <c r="R52" s="217" t="b">
        <f t="shared" si="12"/>
        <v>0</v>
      </c>
      <c r="S52" s="260" t="str">
        <f t="shared" si="11"/>
        <v>N/A</v>
      </c>
      <c r="T52" s="211"/>
    </row>
    <row r="53" spans="3:24" x14ac:dyDescent="0.25">
      <c r="C53" s="36">
        <v>45</v>
      </c>
      <c r="D53" s="36">
        <v>14</v>
      </c>
      <c r="E53" s="36">
        <f>HLOOKUP($D$3,'Table 37'!$B$3:$F$51,48,FALSE)</f>
        <v>105</v>
      </c>
      <c r="F53" s="219">
        <f t="shared" si="5"/>
        <v>7.6923076923076927E-2</v>
      </c>
      <c r="G53" s="219">
        <f t="shared" si="6"/>
        <v>0</v>
      </c>
      <c r="H53" s="220">
        <f t="shared" si="7"/>
        <v>0</v>
      </c>
      <c r="I53" s="219">
        <f>IF(('ErP Inputs'!$H$20)=(TRUE),IF(AND($D$20=$D$54,$D$20&gt;D$18),IF($D$20=D53,$I$20,IF($D$20&gt;D53,(($I$20-$I$18)/($D$20-$D$18)*(D53-$D$20)+$I$20),(($I$54-$I$20)/($D$54-$D$20)*(D53-$D$54)+$I$54))),(($I$18-$I$17)/($D$18-$D$17)*(D53-$D$17)+$I$17)),(($I$18-$I$17)/($D$18-$D$17)*(D53-$D$17)+$I$17))</f>
        <v>0</v>
      </c>
      <c r="J53" s="219">
        <f>IF(G53&lt;(($I$18-$I$17)/($D$18-$D$17)*(D53-$D$17)+$I$17),G53,((($I$18-$I$17)/($D$18-$D$17)*(D53-$D$17)+$I$17)))</f>
        <v>0</v>
      </c>
      <c r="K53" s="221">
        <f t="shared" si="9"/>
        <v>0</v>
      </c>
      <c r="L53" s="220">
        <f t="shared" si="10"/>
        <v>0</v>
      </c>
      <c r="M53" s="221" t="e">
        <f>IF(('ErP Inputs'!$H$20)=(TRUE),IF(AND($D$20=$D$54,$D$20&gt;D$18),IF($D$20=D53,COPPL_Tbiv,IF($D$20&gt;D53,((COPPL_Tbiv-COPPL_d)/($D$20-$D$18)*(D53-$D$20)+COPPL_Tbiv),(($M$54-COPPL_Tbiv)/($D$54-$D$20)*(D53-$D$54)+$M$54))),((COPPL_d-COPPL_c)/($D$18-$D$17)*(D53-$D$17)+COPPL_c)),((COPPL_d-COPPL_c)/($D$18-$D$17)*(D53-$D$17)+COPPL_c))</f>
        <v>#DIV/0!</v>
      </c>
      <c r="N53" s="220" t="e">
        <f t="shared" si="13"/>
        <v>#DIV/0!</v>
      </c>
      <c r="P53" s="220">
        <f t="shared" si="8"/>
        <v>0</v>
      </c>
      <c r="Q53" s="220" t="e">
        <f t="shared" si="14"/>
        <v>#DIV/0!</v>
      </c>
      <c r="R53" s="217" t="b">
        <f t="shared" si="12"/>
        <v>0</v>
      </c>
      <c r="S53" s="260" t="str">
        <f t="shared" si="11"/>
        <v>N/A</v>
      </c>
      <c r="T53" s="211"/>
    </row>
    <row r="54" spans="3:24" x14ac:dyDescent="0.25">
      <c r="C54" s="36">
        <v>46</v>
      </c>
      <c r="D54" s="36">
        <v>15</v>
      </c>
      <c r="E54" s="36">
        <f>HLOOKUP($D$3,'Table 37'!$B$3:$F$51,49,FALSE)</f>
        <v>74</v>
      </c>
      <c r="F54" s="219">
        <f t="shared" si="5"/>
        <v>3.8461538461538464E-2</v>
      </c>
      <c r="G54" s="219">
        <f t="shared" si="6"/>
        <v>0</v>
      </c>
      <c r="H54" s="220">
        <f t="shared" si="7"/>
        <v>0</v>
      </c>
      <c r="I54" s="219">
        <f>IF(('ErP Inputs'!$H$20)=(TRUE),IF(AND($D$20=$D$54,$D$20&gt;D$18),IF($D$20=D54,$I$20,IF($D$20&gt;D54,(($I$20-$I$18)/($D$20-$D$18)*(D54-$D$20)+$I$20),(($I$54-$I$20)/($D$54-$D$20)*(D54-$D$54)+$I$54))),(($I$18-$I$17)/($D$18-$D$17)*(D54-$D$17)+$I$17)),(($I$18-$I$17)/($D$18-$D$17)*(D54-$D$17)+$I$17))</f>
        <v>0</v>
      </c>
      <c r="J54" s="219">
        <f>IF(G54&lt;(($I$18-$I$17)/($D$18-$D$17)*(D54-$D$17)+$I$17),G54,((($I$18-$I$17)/($D$18-$D$17)*(D54-$D$17)+$I$17)))</f>
        <v>0</v>
      </c>
      <c r="K54" s="221">
        <f t="shared" si="9"/>
        <v>0</v>
      </c>
      <c r="L54" s="220">
        <f t="shared" si="10"/>
        <v>0</v>
      </c>
      <c r="M54" s="221" t="e">
        <f>((COPPL_d-COPPL_c)/($D$18-$D$17)*(D54-$D$17)+COPPL_c)</f>
        <v>#DIV/0!</v>
      </c>
      <c r="N54" s="220" t="e">
        <f t="shared" si="13"/>
        <v>#DIV/0!</v>
      </c>
      <c r="P54" s="220">
        <f t="shared" si="8"/>
        <v>0</v>
      </c>
      <c r="Q54" s="220" t="e">
        <f t="shared" si="14"/>
        <v>#DIV/0!</v>
      </c>
      <c r="R54" s="217" t="b">
        <f t="shared" si="12"/>
        <v>0</v>
      </c>
      <c r="S54" s="260" t="str">
        <f t="shared" si="11"/>
        <v>N/A</v>
      </c>
      <c r="T54" s="211"/>
    </row>
    <row r="55" spans="3:24" ht="13.5" thickBot="1" x14ac:dyDescent="0.3">
      <c r="E55" s="36">
        <f>SUM(E29:E54)</f>
        <v>4910</v>
      </c>
      <c r="H55" s="220">
        <f>SUM(H29:H54)</f>
        <v>0</v>
      </c>
      <c r="L55" s="220" t="e">
        <f>SUM(L29:L54)</f>
        <v>#DIV/0!</v>
      </c>
      <c r="N55" s="261" t="e">
        <f>SUM(N29:N54)</f>
        <v>#DIV/0!</v>
      </c>
      <c r="P55" s="261" t="e">
        <f>SUM(P29:P54)</f>
        <v>#VALUE!</v>
      </c>
      <c r="Q55" s="261" t="e">
        <f>SUM(Q29:Q54)</f>
        <v>#DIV/0!</v>
      </c>
      <c r="R55" s="259"/>
      <c r="S55" s="259"/>
      <c r="T55" s="211"/>
    </row>
    <row r="56" spans="3:24" ht="15" thickBot="1" x14ac:dyDescent="0.3">
      <c r="M56" s="234" t="s">
        <v>194</v>
      </c>
      <c r="N56" s="231" t="str">
        <f>IF('ErP Inputs'!E8="Low Temperature Heat Pump","N/A",H55/N55)</f>
        <v>N/A</v>
      </c>
      <c r="P56" s="234" t="s">
        <v>195</v>
      </c>
      <c r="Q56" s="231" t="str">
        <f>IF('ErP Inputs'!E8="Low Temperature Heat Pump","N/A",P55/Q55)</f>
        <v>N/A</v>
      </c>
    </row>
    <row r="58" spans="3:24" x14ac:dyDescent="0.25">
      <c r="U58" s="158"/>
      <c r="V58" s="158"/>
      <c r="W58" s="158"/>
      <c r="X58" s="158"/>
    </row>
  </sheetData>
  <scenarios current="0" show="0">
    <scenario name="Maximum SCOP_Pdesignh" locked="1" count="1" user="John Davies" comment="Created by John Davies on 22/10/2014_x000a_Modified by John Davies on 22/10/2014">
      <inputCells r="D1" val="14.5"/>
    </scenario>
  </scenarios>
  <mergeCells count="8">
    <mergeCell ref="C2:E2"/>
    <mergeCell ref="D10:E10"/>
    <mergeCell ref="C13:F13"/>
    <mergeCell ref="R6:R7"/>
    <mergeCell ref="I27:J27"/>
    <mergeCell ref="C21:N21"/>
    <mergeCell ref="C22:N22"/>
    <mergeCell ref="C23:N23"/>
  </mergeCells>
  <conditionalFormatting sqref="P15">
    <cfRule type="colorScale" priority="2">
      <colorScale>
        <cfvo type="min"/>
        <cfvo type="percentile" val="50"/>
        <cfvo type="max"/>
        <color rgb="FFF8696B"/>
        <color rgb="FFFFEB84"/>
        <color rgb="FF63BE7B"/>
      </colorScale>
    </cfRule>
  </conditionalFormatting>
  <conditionalFormatting sqref="P15:Q15">
    <cfRule type="colorScale" priority="3">
      <colorScale>
        <cfvo type="num" val="30"/>
        <cfvo type="num" val="80"/>
        <cfvo type="num" val="150"/>
        <color rgb="FFF8696B"/>
        <color rgb="FFFFEB84"/>
        <color rgb="FF63BE7B"/>
      </colorScale>
    </cfRule>
  </conditionalFormatting>
  <conditionalFormatting sqref="Q17">
    <cfRule type="colorScale" priority="1">
      <colorScale>
        <cfvo type="num" val="30"/>
        <cfvo type="percentile" val="60"/>
        <cfvo type="num" val="150"/>
        <color rgb="FFF8696B"/>
        <color rgb="FFFFEB84"/>
        <color rgb="FF63BE7B"/>
      </colorScale>
    </cfRule>
  </conditionalFormatting>
  <dataValidations count="1">
    <dataValidation type="list" allowBlank="1" showInputMessage="1" showErrorMessage="1" sqref="D11" xr:uid="{00000000-0002-0000-0500-000000000000}">
      <formula1>$H$8:$H$10</formula1>
    </dataValidation>
  </dataValidations>
  <printOptions headings="1"/>
  <pageMargins left="0.25" right="0.25" top="0.75" bottom="0.75" header="0.3" footer="0.3"/>
  <pageSetup paperSize="8" scale="25" orientation="landscape"/>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X70"/>
  <sheetViews>
    <sheetView zoomScale="90" zoomScaleNormal="90" workbookViewId="0">
      <selection activeCell="H9" sqref="H9"/>
    </sheetView>
  </sheetViews>
  <sheetFormatPr defaultColWidth="9.140625" defaultRowHeight="12.75" x14ac:dyDescent="0.25"/>
  <cols>
    <col min="1" max="1" width="2.85546875" style="158" customWidth="1"/>
    <col min="2" max="2" width="3.85546875" style="158" customWidth="1"/>
    <col min="3" max="3" width="30.42578125" style="158" customWidth="1"/>
    <col min="4" max="4" width="16.85546875" style="158" customWidth="1"/>
    <col min="5" max="5" width="16" style="158" bestFit="1" customWidth="1"/>
    <col min="6" max="6" width="18.7109375" style="158" bestFit="1" customWidth="1"/>
    <col min="7" max="7" width="11.5703125" style="158" customWidth="1"/>
    <col min="8" max="8" width="14.42578125" style="158" customWidth="1"/>
    <col min="9" max="9" width="23.42578125" style="158" customWidth="1"/>
    <col min="10" max="10" width="19.5703125" style="158" bestFit="1" customWidth="1"/>
    <col min="11" max="11" width="26" style="158" bestFit="1" customWidth="1"/>
    <col min="12" max="12" width="18.42578125" style="158" customWidth="1"/>
    <col min="13" max="13" width="17.140625" style="158" bestFit="1" customWidth="1"/>
    <col min="14" max="14" width="36.5703125" style="158" bestFit="1" customWidth="1"/>
    <col min="15" max="15" width="4" style="158" customWidth="1"/>
    <col min="16" max="16" width="48.7109375" style="158" bestFit="1" customWidth="1"/>
    <col min="17" max="17" width="26.140625" style="158" bestFit="1" customWidth="1"/>
    <col min="18" max="19" width="8.140625" style="207" customWidth="1"/>
    <col min="20" max="20" width="24.42578125" style="158" customWidth="1"/>
    <col min="21" max="21" width="24.140625" style="207" customWidth="1"/>
    <col min="22" max="22" width="25.42578125" style="207" bestFit="1" customWidth="1"/>
    <col min="23" max="24" width="24.140625" style="207" customWidth="1"/>
    <col min="25" max="25" width="8.42578125" style="158" customWidth="1"/>
    <col min="26" max="16384" width="9.140625" style="158"/>
  </cols>
  <sheetData>
    <row r="1" spans="1:24" ht="15" customHeight="1" x14ac:dyDescent="0.25">
      <c r="D1" s="215"/>
    </row>
    <row r="2" spans="1:24" x14ac:dyDescent="0.25">
      <c r="C2" s="107" t="s">
        <v>75</v>
      </c>
      <c r="D2" s="107"/>
      <c r="E2" s="107"/>
      <c r="J2" s="77" t="s">
        <v>203</v>
      </c>
    </row>
    <row r="3" spans="1:24" ht="15.75" x14ac:dyDescent="0.25">
      <c r="A3" s="208"/>
      <c r="C3" s="43" t="s">
        <v>23</v>
      </c>
      <c r="D3" s="36" t="s">
        <v>9</v>
      </c>
      <c r="E3" s="204"/>
      <c r="J3" s="77" t="s">
        <v>98</v>
      </c>
      <c r="K3" s="207"/>
      <c r="L3" s="207"/>
      <c r="M3" s="207"/>
      <c r="P3" s="43" t="s">
        <v>173</v>
      </c>
      <c r="Q3" s="228">
        <f>'ErP Inputs'!$D$46</f>
        <v>0</v>
      </c>
      <c r="R3" s="40" t="s">
        <v>20</v>
      </c>
      <c r="U3" s="158"/>
      <c r="V3" s="158"/>
      <c r="W3" s="158"/>
      <c r="X3" s="158"/>
    </row>
    <row r="4" spans="1:24" ht="15.75" x14ac:dyDescent="0.25">
      <c r="A4" s="208"/>
      <c r="C4" s="43" t="s">
        <v>19</v>
      </c>
      <c r="D4" s="36">
        <v>-10</v>
      </c>
      <c r="E4" s="40" t="s">
        <v>162</v>
      </c>
      <c r="J4" s="105" t="s">
        <v>50</v>
      </c>
      <c r="K4" s="105" t="s">
        <v>190</v>
      </c>
      <c r="L4" s="105" t="s">
        <v>191</v>
      </c>
      <c r="M4" s="105" t="s">
        <v>192</v>
      </c>
      <c r="N4" s="105" t="s">
        <v>193</v>
      </c>
      <c r="P4" s="43" t="s">
        <v>174</v>
      </c>
      <c r="Q4" s="228">
        <f>'ErP Inputs'!$D$47</f>
        <v>0</v>
      </c>
      <c r="R4" s="40" t="s">
        <v>20</v>
      </c>
      <c r="U4" s="158"/>
      <c r="V4" s="158"/>
      <c r="W4" s="158"/>
      <c r="X4" s="158"/>
    </row>
    <row r="5" spans="1:24" ht="15.75" x14ac:dyDescent="0.25">
      <c r="A5" s="208"/>
      <c r="C5" s="43" t="s">
        <v>24</v>
      </c>
      <c r="D5" s="191">
        <f>'ErP Inputs'!I24</f>
        <v>0</v>
      </c>
      <c r="E5" s="40" t="s">
        <v>20</v>
      </c>
      <c r="I5" s="43" t="s">
        <v>49</v>
      </c>
      <c r="J5" s="41">
        <f>IF('ErP Inputs'!E4="Air to Air",1400,2066)</f>
        <v>1400</v>
      </c>
      <c r="K5" s="36">
        <f>IF('ErP Inputs'!E4="Air to Air",179,178)</f>
        <v>179</v>
      </c>
      <c r="L5" s="36">
        <v>0</v>
      </c>
      <c r="M5" s="36">
        <v>3672</v>
      </c>
      <c r="N5" s="36">
        <f>IF('ErP Inputs'!E4="Air to Air",3851,3850)</f>
        <v>3851</v>
      </c>
      <c r="P5" s="43" t="s">
        <v>175</v>
      </c>
      <c r="Q5" s="228">
        <f>'ErP Inputs'!$D$48</f>
        <v>0</v>
      </c>
      <c r="R5" s="40" t="s">
        <v>20</v>
      </c>
      <c r="U5" s="158"/>
      <c r="V5" s="158"/>
      <c r="W5" s="158"/>
      <c r="X5" s="158"/>
    </row>
    <row r="6" spans="1:24" ht="15.75" x14ac:dyDescent="0.25">
      <c r="A6" s="208"/>
      <c r="D6" s="207"/>
      <c r="J6" s="207"/>
      <c r="K6" s="207"/>
      <c r="L6" s="207"/>
      <c r="M6" s="207"/>
      <c r="P6" s="59" t="s">
        <v>176</v>
      </c>
      <c r="Q6" s="220">
        <f>D5*J5</f>
        <v>0</v>
      </c>
      <c r="R6" s="267"/>
      <c r="U6" s="158"/>
      <c r="V6" s="158"/>
      <c r="W6" s="158"/>
      <c r="X6" s="158"/>
    </row>
    <row r="7" spans="1:24" ht="15.75" x14ac:dyDescent="0.25">
      <c r="A7" s="211"/>
      <c r="B7" s="211"/>
      <c r="C7" s="37" t="str">
        <f>'ErP Inputs'!E4</f>
        <v>Air to Air</v>
      </c>
      <c r="D7" s="212"/>
      <c r="J7" s="207"/>
      <c r="K7" s="207"/>
      <c r="L7" s="207"/>
      <c r="M7" s="207"/>
      <c r="P7" s="43" t="s">
        <v>177</v>
      </c>
      <c r="Q7" s="220" t="e">
        <f>Q6/N25+(K5*Q3)+(M5*Q4)+(N5*Q5)</f>
        <v>#VALUE!</v>
      </c>
      <c r="R7" s="268"/>
      <c r="U7" s="158"/>
      <c r="V7" s="158"/>
      <c r="W7" s="158"/>
      <c r="X7" s="158"/>
    </row>
    <row r="8" spans="1:24" ht="13.5" thickBot="1" x14ac:dyDescent="0.3">
      <c r="A8" s="211"/>
      <c r="B8" s="211"/>
      <c r="C8" s="37" t="str">
        <f>'ErP Inputs'!E5</f>
        <v>Variable Outlet</v>
      </c>
      <c r="D8" s="207"/>
    </row>
    <row r="9" spans="1:24" ht="13.5" thickBot="1" x14ac:dyDescent="0.3">
      <c r="A9" s="211"/>
      <c r="B9" s="211"/>
      <c r="D9" s="207"/>
      <c r="P9" s="234" t="s">
        <v>48</v>
      </c>
      <c r="Q9" s="232" t="e">
        <f>Q6/Q7</f>
        <v>#VALUE!</v>
      </c>
    </row>
    <row r="10" spans="1:24" x14ac:dyDescent="0.25">
      <c r="A10" s="211"/>
      <c r="B10" s="211"/>
      <c r="C10" s="51" t="s">
        <v>22</v>
      </c>
      <c r="D10" s="38" t="str">
        <f>IF(D3="Average","(Tj-16) / (-10-16) %",IF(D3="Warmer","(Tj-16) / (+2-16) %","(Tj-16) / (-22-16) %"))</f>
        <v>(Tj-16) / (-10-16) %</v>
      </c>
      <c r="E10" s="38"/>
      <c r="G10" s="114"/>
      <c r="P10" s="205" t="s">
        <v>52</v>
      </c>
      <c r="Q10" s="58">
        <v>2.5</v>
      </c>
      <c r="R10" s="204"/>
    </row>
    <row r="11" spans="1:24" x14ac:dyDescent="0.25">
      <c r="A11" s="211"/>
      <c r="B11" s="211"/>
      <c r="C11" s="214"/>
      <c r="D11" s="215"/>
      <c r="I11" s="207"/>
      <c r="P11" s="43" t="s">
        <v>54</v>
      </c>
      <c r="Q11" s="36">
        <v>3</v>
      </c>
      <c r="R11" s="40" t="s">
        <v>27</v>
      </c>
    </row>
    <row r="12" spans="1:24" ht="25.5" x14ac:dyDescent="0.25">
      <c r="A12" s="211"/>
      <c r="B12" s="211"/>
      <c r="C12" s="105" t="s">
        <v>26</v>
      </c>
      <c r="D12" s="106" t="s">
        <v>105</v>
      </c>
      <c r="E12" s="106" t="s">
        <v>106</v>
      </c>
      <c r="F12" s="106" t="s">
        <v>25</v>
      </c>
      <c r="G12" s="106" t="s">
        <v>22</v>
      </c>
      <c r="H12" s="106" t="s">
        <v>28</v>
      </c>
      <c r="I12" s="106" t="s">
        <v>29</v>
      </c>
      <c r="J12" s="106" t="s">
        <v>30</v>
      </c>
      <c r="K12" s="106" t="s">
        <v>207</v>
      </c>
      <c r="L12" s="106" t="s">
        <v>205</v>
      </c>
      <c r="M12" s="106" t="s">
        <v>36</v>
      </c>
      <c r="N12" s="106" t="s">
        <v>31</v>
      </c>
      <c r="P12" s="43" t="s">
        <v>80</v>
      </c>
      <c r="Q12" s="36">
        <f>IF(C7="Ground Source",5,0)</f>
        <v>0</v>
      </c>
      <c r="R12" s="40" t="s">
        <v>27</v>
      </c>
    </row>
    <row r="13" spans="1:24" ht="15.75" x14ac:dyDescent="0.25">
      <c r="C13" s="264"/>
      <c r="D13" s="206"/>
      <c r="E13" s="206"/>
      <c r="F13" s="265"/>
      <c r="G13" s="173" t="s">
        <v>27</v>
      </c>
      <c r="H13" s="173" t="s">
        <v>20</v>
      </c>
      <c r="I13" s="173" t="s">
        <v>20</v>
      </c>
      <c r="J13" s="173" t="s">
        <v>178</v>
      </c>
      <c r="K13" s="173" t="s">
        <v>73</v>
      </c>
      <c r="L13" s="173" t="s">
        <v>74</v>
      </c>
      <c r="M13" s="173"/>
      <c r="N13" s="173" t="s">
        <v>179</v>
      </c>
      <c r="P13" s="43" t="s">
        <v>118</v>
      </c>
      <c r="Q13" s="36">
        <f>Q11+Q12</f>
        <v>3</v>
      </c>
      <c r="R13" s="40" t="s">
        <v>27</v>
      </c>
    </row>
    <row r="14" spans="1:24" ht="13.5" thickBot="1" x14ac:dyDescent="0.3">
      <c r="A14" s="211"/>
      <c r="B14" s="211"/>
      <c r="C14" s="43"/>
      <c r="D14" s="36">
        <v>-15</v>
      </c>
      <c r="E14" s="216" t="str">
        <f>IF($D$3="Average","Not Applicable",IF($D$3="Warmer","Not Applicable",IF($D$3="Colder",(minus15-16)/(Tdesignh-16),"Check Value")))</f>
        <v>Not Applicable</v>
      </c>
      <c r="F14" s="216" t="str">
        <f>IF($D$3="Average","Not Applicable",IF($D$3="Warmer","Not Applicable",IF($D$3="Colder",(minus15-16)/(Tdesignh-16),"Check Value")))</f>
        <v>Not Applicable</v>
      </c>
      <c r="G14" s="216"/>
      <c r="H14" s="36"/>
      <c r="I14" s="36"/>
      <c r="J14" s="36"/>
      <c r="K14" s="36"/>
      <c r="L14" s="36"/>
      <c r="M14" s="36"/>
      <c r="N14" s="36"/>
    </row>
    <row r="15" spans="1:24" ht="41.25" customHeight="1" thickBot="1" x14ac:dyDescent="0.3">
      <c r="A15" s="211"/>
      <c r="B15" s="211"/>
      <c r="C15" s="217" t="s">
        <v>15</v>
      </c>
      <c r="D15" s="217">
        <v>-7</v>
      </c>
      <c r="E15" s="36">
        <f>IF('ErP Inputs'!E4="Ground Source",0,IF('ErP Inputs'!E4="Air Source",-7,10))</f>
        <v>10</v>
      </c>
      <c r="F15" s="217" t="str">
        <f>'ErP Inputs'!F37</f>
        <v>20</v>
      </c>
      <c r="G15" s="218">
        <f>(D15-16)/(Tdesignh-16)</f>
        <v>0.88461538461538458</v>
      </c>
      <c r="H15" s="191">
        <f>G15*$D$5</f>
        <v>0</v>
      </c>
      <c r="I15" s="191">
        <f>'ErP Inputs'!E38</f>
        <v>0</v>
      </c>
      <c r="J15" s="191">
        <f>'ErP Inputs'!E39</f>
        <v>0</v>
      </c>
      <c r="K15" s="191">
        <f>IF('ErP Inputs'!E40="",IF('ErP Inputs'!E4="Air to Air",0.25,0.9),'ErP Inputs'!E40)</f>
        <v>0.25</v>
      </c>
      <c r="L15" s="191" t="e">
        <f>IF(I15&lt;H15,1,H15/I15)</f>
        <v>#DIV/0!</v>
      </c>
      <c r="M15" s="191" t="e">
        <f>L15/(K15*L15+(1-K15))</f>
        <v>#DIV/0!</v>
      </c>
      <c r="N15" s="191" t="e">
        <f>IF(L15=1,J15,J15*L15/(K15*L15+(1-K15)))</f>
        <v>#DIV/0!</v>
      </c>
      <c r="P15" s="234" t="s">
        <v>51</v>
      </c>
      <c r="Q15" s="231" t="e">
        <f>(100/Q10)*Q9-Q13</f>
        <v>#VALUE!</v>
      </c>
    </row>
    <row r="16" spans="1:24" ht="13.5" thickBot="1" x14ac:dyDescent="0.3">
      <c r="C16" s="217" t="s">
        <v>16</v>
      </c>
      <c r="D16" s="217">
        <v>2</v>
      </c>
      <c r="E16" s="36">
        <f>IF('ErP Inputs'!E4="Ground Source",0,IF('ErP Inputs'!E4="Air Source",2,10))</f>
        <v>10</v>
      </c>
      <c r="F16" s="217" t="str">
        <f>'ErP Inputs'!H37</f>
        <v>20</v>
      </c>
      <c r="G16" s="218">
        <f>(D16-16)/(Tdesignh-16)</f>
        <v>0.53846153846153844</v>
      </c>
      <c r="H16" s="191">
        <f t="shared" ref="H16:H20" si="0">G16*$D$5</f>
        <v>0</v>
      </c>
      <c r="I16" s="191">
        <f>'ErP Inputs'!G38</f>
        <v>0</v>
      </c>
      <c r="J16" s="191">
        <f>'ErP Inputs'!G39</f>
        <v>0</v>
      </c>
      <c r="K16" s="191">
        <f>IF('ErP Inputs'!G40="",IF('ErP Inputs'!E4="Air to Air",0.25,0.9),'ErP Inputs'!G40)</f>
        <v>0.25</v>
      </c>
      <c r="L16" s="191" t="e">
        <f t="shared" ref="L16:L20" si="1">IF(I16&lt;H16,1,H16/I16)</f>
        <v>#DIV/0!</v>
      </c>
      <c r="M16" s="191" t="e">
        <f t="shared" ref="M16:M20" si="2">L16/(K16*L16+(1-K16))</f>
        <v>#DIV/0!</v>
      </c>
      <c r="N16" s="191" t="e">
        <f t="shared" ref="N16:N18" si="3">IF(L16=1,J16,J16*L16/(K16*L16+(1-K16)))</f>
        <v>#DIV/0!</v>
      </c>
    </row>
    <row r="17" spans="3:20" ht="13.5" thickBot="1" x14ac:dyDescent="0.3">
      <c r="C17" s="217" t="s">
        <v>17</v>
      </c>
      <c r="D17" s="217">
        <v>7</v>
      </c>
      <c r="E17" s="36">
        <f>IF('ErP Inputs'!E4="Ground Source",0,IF('ErP Inputs'!E4="Air Source",7,10))</f>
        <v>10</v>
      </c>
      <c r="F17" s="217" t="str">
        <f>'ErP Inputs'!J37</f>
        <v>20</v>
      </c>
      <c r="G17" s="218">
        <f>(D17-16)/(Tdesignh-16)</f>
        <v>0.34615384615384615</v>
      </c>
      <c r="H17" s="191">
        <f t="shared" si="0"/>
        <v>0</v>
      </c>
      <c r="I17" s="191">
        <f>'ErP Inputs'!I38</f>
        <v>0</v>
      </c>
      <c r="J17" s="191">
        <f>'ErP Inputs'!I39</f>
        <v>0</v>
      </c>
      <c r="K17" s="191">
        <f>IF('ErP Inputs'!I40="",IF('ErP Inputs'!E4="Air to Air",0.25,0.9),'ErP Inputs'!I40)</f>
        <v>0.25</v>
      </c>
      <c r="L17" s="191" t="e">
        <f t="shared" si="1"/>
        <v>#DIV/0!</v>
      </c>
      <c r="M17" s="191" t="e">
        <f t="shared" si="2"/>
        <v>#DIV/0!</v>
      </c>
      <c r="N17" s="191" t="e">
        <f t="shared" si="3"/>
        <v>#DIV/0!</v>
      </c>
      <c r="P17" s="234" t="s">
        <v>53</v>
      </c>
      <c r="Q17" s="229" t="e">
        <f>IF('ErP Inputs'!E8="Low Temperature Heat Pump",IF(Q15&gt;=150,"A++",IF(AND(Q15&lt;150,Q15&gt;=123),"A+",IF(AND(Q15&lt;123,Q15&gt;=115),"A",IF(AND(Q15&lt;115,Q15&gt;=107),"B",IF(AND(Q15&lt;107,Q15&gt;=100),"C",IF(AND(Q15&lt;100,Q15&gt;=61),"D",IF(AND(Q15&lt;61,Q15&gt;=59),"E",IF(AND(Q15&lt;59,Q15&gt;=55),"F","G")))))))),IF(Q15&gt;=125,"A++",IF(AND(Q15&lt;125,Q15&gt;=98),"A+",IF(AND(Q15&lt;98,Q15&gt;=90),"A",IF(AND(Q15&lt;90,Q15&gt;=82),"B",IF(AND(Q15&lt;82,Q15&gt;=75),"C",IF(AND(Q15&lt;75,Q15&gt;=36),"D",IF(AND(Q15&lt;36,Q15&gt;=34),"E",IF(AND(Q15&lt;34,Q15&gt;=30),"F","G")))))))))</f>
        <v>#VALUE!</v>
      </c>
    </row>
    <row r="18" spans="3:20" ht="13.5" thickBot="1" x14ac:dyDescent="0.3">
      <c r="C18" s="217" t="s">
        <v>18</v>
      </c>
      <c r="D18" s="217">
        <v>12</v>
      </c>
      <c r="E18" s="36">
        <f>IF('ErP Inputs'!E4="Ground Source",0,IF('ErP Inputs'!E4="Air Source",12,10))</f>
        <v>10</v>
      </c>
      <c r="F18" s="217" t="str">
        <f>'ErP Inputs'!L37</f>
        <v>20</v>
      </c>
      <c r="G18" s="218">
        <f>(D18-16)/(Tdesignh-16)</f>
        <v>0.15384615384615385</v>
      </c>
      <c r="H18" s="191">
        <f t="shared" si="0"/>
        <v>0</v>
      </c>
      <c r="I18" s="191">
        <f>'ErP Inputs'!K38</f>
        <v>0</v>
      </c>
      <c r="J18" s="191">
        <f>'ErP Inputs'!K39</f>
        <v>0</v>
      </c>
      <c r="K18" s="191">
        <f>IF('ErP Inputs'!K40="",IF('ErP Inputs'!E4="Air to Air",0.25,0.9),'ErP Inputs'!K40)</f>
        <v>0.25</v>
      </c>
      <c r="L18" s="191" t="e">
        <f>IF(I18&lt;H18,1,H18/I18)</f>
        <v>#DIV/0!</v>
      </c>
      <c r="M18" s="191" t="e">
        <f t="shared" si="2"/>
        <v>#DIV/0!</v>
      </c>
      <c r="N18" s="191" t="e">
        <f t="shared" si="3"/>
        <v>#DIV/0!</v>
      </c>
    </row>
    <row r="19" spans="3:20" ht="15" thickBot="1" x14ac:dyDescent="0.3">
      <c r="C19" s="217" t="s">
        <v>104</v>
      </c>
      <c r="D19" s="217" t="str">
        <f>IF(OR('ErP Inputs'!E4="Ground Source",'ErP Inputs'!E4="Water Source"),-10,IF('ErP Inputs'!D45&gt;-7,"N/A",IF(AND('ErP Inputs'!D45&gt;=Tdesignh,'ErP Inputs'!D45&lt;=-7),'ErP Inputs'!D45,Tdesignh)))</f>
        <v>N/A</v>
      </c>
      <c r="E19" s="36">
        <f>IF('ErP Inputs'!E4="Ground Source",0,IF('ErP Inputs'!E4="Air Source",D19,10))</f>
        <v>10</v>
      </c>
      <c r="F19" s="217" t="str">
        <f>'ErP Inputs'!N37</f>
        <v>20</v>
      </c>
      <c r="G19" s="218" t="e">
        <f>(D19-16)/(Tdesignh-16)</f>
        <v>#VALUE!</v>
      </c>
      <c r="H19" s="191" t="e">
        <f t="shared" si="0"/>
        <v>#VALUE!</v>
      </c>
      <c r="I19" s="191">
        <f>'ErP Inputs'!M38</f>
        <v>0</v>
      </c>
      <c r="J19" s="191">
        <f>'ErP Inputs'!M39</f>
        <v>0</v>
      </c>
      <c r="K19" s="191">
        <f>IF('ErP Inputs'!M40="",IF('ErP Inputs'!E4="Air to Air",0.25,0.9),'ErP Inputs'!M40)</f>
        <v>0.25</v>
      </c>
      <c r="L19" s="191" t="e">
        <f t="shared" si="1"/>
        <v>#VALUE!</v>
      </c>
      <c r="M19" s="191" t="e">
        <f t="shared" si="2"/>
        <v>#VALUE!</v>
      </c>
      <c r="N19" s="191" t="e">
        <f>IF(L19=1,J19,J19*L19/(K19*L19+(1-K19)))</f>
        <v>#VALUE!</v>
      </c>
      <c r="P19" s="234" t="s">
        <v>119</v>
      </c>
      <c r="Q19" s="230">
        <f>IF(Q20=FALSE,MIN(S29:S54),"N/A")</f>
        <v>-10</v>
      </c>
      <c r="R19" s="229" t="s">
        <v>162</v>
      </c>
    </row>
    <row r="20" spans="3:20" x14ac:dyDescent="0.25">
      <c r="C20" s="217" t="s">
        <v>123</v>
      </c>
      <c r="D20" s="217">
        <f>'ErP Inputs'!D21</f>
        <v>0</v>
      </c>
      <c r="E20" s="36">
        <f>IF('ErP Inputs'!E4="Ground Source",0,IF('ErP Inputs'!E4="Air Source",D20,10))</f>
        <v>10</v>
      </c>
      <c r="F20" s="217" t="str">
        <f>'ErP Inputs'!P37</f>
        <v/>
      </c>
      <c r="G20" s="218">
        <f t="shared" ref="G20" si="4">(D20-16)/(Tdesignh-16)</f>
        <v>0.61538461538461542</v>
      </c>
      <c r="H20" s="191">
        <f t="shared" si="0"/>
        <v>0</v>
      </c>
      <c r="I20" s="191">
        <f>'ErP Inputs'!O38</f>
        <v>0</v>
      </c>
      <c r="J20" s="191">
        <f>'ErP Inputs'!O39</f>
        <v>0</v>
      </c>
      <c r="K20" s="191">
        <f>IF('ErP Inputs'!O40="",IF('ErP Inputs'!E4="Air to Air",0.25,0.9),'ErP Inputs'!O40)</f>
        <v>0.25</v>
      </c>
      <c r="L20" s="191" t="e">
        <f t="shared" si="1"/>
        <v>#DIV/0!</v>
      </c>
      <c r="M20" s="191" t="e">
        <f t="shared" si="2"/>
        <v>#DIV/0!</v>
      </c>
      <c r="N20" s="191" t="e">
        <f t="shared" ref="N20" si="5">IF(L20=1,J20,J20*L20/(K20*L20+(1-K20)))</f>
        <v>#DIV/0!</v>
      </c>
      <c r="Q20" s="233" t="b">
        <f>ISERROR(N25)</f>
        <v>0</v>
      </c>
    </row>
    <row r="21" spans="3:20" x14ac:dyDescent="0.25">
      <c r="C21" s="262" t="s">
        <v>150</v>
      </c>
      <c r="D21" s="262"/>
      <c r="E21" s="262"/>
      <c r="F21" s="262"/>
      <c r="G21" s="262"/>
      <c r="H21" s="262"/>
      <c r="I21" s="262"/>
      <c r="J21" s="262"/>
      <c r="K21" s="262"/>
      <c r="L21" s="262"/>
      <c r="M21" s="262"/>
      <c r="N21" s="262"/>
    </row>
    <row r="22" spans="3:20" x14ac:dyDescent="0.25">
      <c r="C22" s="255" t="s">
        <v>204</v>
      </c>
      <c r="D22" s="255"/>
      <c r="E22" s="255"/>
      <c r="F22" s="255"/>
      <c r="G22" s="255"/>
      <c r="H22" s="255"/>
      <c r="I22" s="255"/>
      <c r="J22" s="255"/>
      <c r="K22" s="255"/>
      <c r="L22" s="255"/>
      <c r="M22" s="255"/>
      <c r="N22" s="255"/>
    </row>
    <row r="23" spans="3:20" x14ac:dyDescent="0.25">
      <c r="C23" s="255" t="s">
        <v>208</v>
      </c>
      <c r="D23" s="255"/>
      <c r="E23" s="255"/>
      <c r="F23" s="255"/>
      <c r="G23" s="255"/>
      <c r="H23" s="255"/>
      <c r="I23" s="255"/>
      <c r="J23" s="255"/>
      <c r="K23" s="255"/>
      <c r="L23" s="255"/>
      <c r="M23" s="255"/>
      <c r="N23" s="255"/>
    </row>
    <row r="24" spans="3:20" ht="13.5" thickBot="1" x14ac:dyDescent="0.3"/>
    <row r="25" spans="3:20" ht="15" thickBot="1" x14ac:dyDescent="0.3">
      <c r="M25" s="234" t="s">
        <v>194</v>
      </c>
      <c r="N25" s="231" t="str">
        <f>N56</f>
        <v>N/A</v>
      </c>
      <c r="P25" s="234" t="s">
        <v>195</v>
      </c>
      <c r="Q25" s="231" t="str">
        <f>Q56</f>
        <v>N/A</v>
      </c>
    </row>
    <row r="26" spans="3:20" ht="52.5" customHeight="1" x14ac:dyDescent="0.25">
      <c r="C26" s="105" t="s">
        <v>32</v>
      </c>
      <c r="D26" s="106" t="s">
        <v>33</v>
      </c>
      <c r="E26" s="105" t="s">
        <v>34</v>
      </c>
      <c r="F26" s="105" t="s">
        <v>22</v>
      </c>
      <c r="G26" s="105" t="s">
        <v>28</v>
      </c>
      <c r="H26" s="106" t="s">
        <v>39</v>
      </c>
      <c r="I26" s="106" t="s">
        <v>37</v>
      </c>
      <c r="J26" s="106" t="s">
        <v>35</v>
      </c>
      <c r="K26" s="106" t="s">
        <v>38</v>
      </c>
      <c r="L26" s="106" t="s">
        <v>40</v>
      </c>
      <c r="M26" s="118" t="s">
        <v>189</v>
      </c>
      <c r="N26" s="118" t="s">
        <v>41</v>
      </c>
      <c r="P26" s="118" t="s">
        <v>42</v>
      </c>
      <c r="Q26" s="118" t="s">
        <v>44</v>
      </c>
    </row>
    <row r="27" spans="3:20" ht="15.75" x14ac:dyDescent="0.25">
      <c r="C27" s="224" t="s">
        <v>0</v>
      </c>
      <c r="D27" s="224" t="s">
        <v>180</v>
      </c>
      <c r="E27" s="224" t="s">
        <v>181</v>
      </c>
      <c r="F27" s="224"/>
      <c r="G27" s="224" t="s">
        <v>182</v>
      </c>
      <c r="H27" s="224" t="s">
        <v>183</v>
      </c>
      <c r="I27" s="224"/>
      <c r="J27" s="224"/>
      <c r="K27" s="224" t="s">
        <v>184</v>
      </c>
      <c r="L27" s="224" t="s">
        <v>185</v>
      </c>
      <c r="M27" s="258"/>
      <c r="N27" s="224" t="s">
        <v>186</v>
      </c>
      <c r="P27" s="224" t="s">
        <v>43</v>
      </c>
      <c r="Q27" s="224" t="s">
        <v>187</v>
      </c>
    </row>
    <row r="28" spans="3:20" ht="14.25" x14ac:dyDescent="0.25">
      <c r="C28" s="173"/>
      <c r="D28" s="173" t="s">
        <v>155</v>
      </c>
      <c r="E28" s="173" t="s">
        <v>4</v>
      </c>
      <c r="F28" s="173"/>
      <c r="G28" s="173" t="s">
        <v>20</v>
      </c>
      <c r="H28" s="173" t="s">
        <v>21</v>
      </c>
      <c r="I28" s="173" t="s">
        <v>20</v>
      </c>
      <c r="J28" s="173" t="s">
        <v>20</v>
      </c>
      <c r="K28" s="174" t="s">
        <v>20</v>
      </c>
      <c r="L28" s="173" t="s">
        <v>21</v>
      </c>
      <c r="M28" s="174"/>
      <c r="N28" s="173" t="s">
        <v>21</v>
      </c>
      <c r="P28" s="173" t="s">
        <v>21</v>
      </c>
      <c r="Q28" s="173" t="s">
        <v>21</v>
      </c>
    </row>
    <row r="29" spans="3:20" x14ac:dyDescent="0.25">
      <c r="C29" s="36">
        <v>21</v>
      </c>
      <c r="D29" s="36">
        <v>-10</v>
      </c>
      <c r="E29" s="36">
        <f>HLOOKUP($D$3,'Table 37'!$B$3:$F$51,24,FALSE)</f>
        <v>1</v>
      </c>
      <c r="F29" s="219">
        <f t="shared" ref="F29:F54" si="6">(D29-16)/(Tdesignh-16)</f>
        <v>1</v>
      </c>
      <c r="G29" s="219">
        <f>$D$5*F29</f>
        <v>0</v>
      </c>
      <c r="H29" s="220">
        <f t="shared" ref="H29:H54" si="7">E29*G29</f>
        <v>0</v>
      </c>
      <c r="I29" s="157">
        <f>IF(D19&gt;D29,0,I19)</f>
        <v>0</v>
      </c>
      <c r="J29" s="157">
        <f>IF(G29&lt;I29,G29,I29)</f>
        <v>0</v>
      </c>
      <c r="K29" s="221">
        <f>IF(I29&gt;0.9*G29,0,G29-I29)</f>
        <v>0</v>
      </c>
      <c r="L29" s="220" t="e">
        <f>IF(D19="N/A",#DIV/0!,K29*E29)</f>
        <v>#DIV/0!</v>
      </c>
      <c r="M29" s="244" t="e">
        <f>COPPL_TOL</f>
        <v>#VALUE!</v>
      </c>
      <c r="N29" s="220" t="e">
        <f>IFERROR(E29*((G29-K29)/M29+K29),L29)</f>
        <v>#DIV/0!</v>
      </c>
      <c r="P29" s="220">
        <f t="shared" ref="P29:P54" si="8">E29*(G29-K29)</f>
        <v>0</v>
      </c>
      <c r="Q29" s="220" t="e">
        <f>IF(P29=0,L29,IF(F29&lt;1,E29*Q29/M29,E29*(G29-K29)/M29))</f>
        <v>#DIV/0!</v>
      </c>
      <c r="R29" s="217">
        <f>IF(AND(G29*0.9&gt;I29,G30*0.9&lt;I30),D29,-10)</f>
        <v>-10</v>
      </c>
      <c r="S29" s="260">
        <f>IF(R29=FALSE,"N/A",D29)</f>
        <v>-10</v>
      </c>
      <c r="T29" s="269"/>
    </row>
    <row r="30" spans="3:20" x14ac:dyDescent="0.25">
      <c r="C30" s="36">
        <v>22</v>
      </c>
      <c r="D30" s="36">
        <v>-9</v>
      </c>
      <c r="E30" s="36">
        <f>HLOOKUP($D$3,'Table 37'!$B$3:$F$51,25,FALSE)</f>
        <v>25</v>
      </c>
      <c r="F30" s="219">
        <f t="shared" si="6"/>
        <v>0.96153846153846156</v>
      </c>
      <c r="G30" s="219">
        <f t="shared" ref="G30:G54" si="9">$D$5*F30</f>
        <v>0</v>
      </c>
      <c r="H30" s="220">
        <f t="shared" si="7"/>
        <v>0</v>
      </c>
      <c r="I30" s="219">
        <f>IF(D19&gt;D30,0,IF(D19=D30,I19,(($I$15-$I$19)/($D$15-$D$19)*(D30-$D$19)+$I$19)))</f>
        <v>0</v>
      </c>
      <c r="J30" s="219">
        <f>IF(I30=0,0,IF(G30&lt;(($I$15-$I$19)/($D$15-$D$19)*(D30-$D$19)+$I$19),G30,(($I$15-$I$19)/($D$15-$D$19)*(D30-$D$19)+$I$19)))</f>
        <v>0</v>
      </c>
      <c r="K30" s="221">
        <f t="shared" ref="K30:K54" si="10">IF(I30&gt;0.9*G30,0,G30-I30)</f>
        <v>0</v>
      </c>
      <c r="L30" s="220">
        <f t="shared" ref="L30:L54" si="11">K30*E30</f>
        <v>0</v>
      </c>
      <c r="M30" s="221" t="e">
        <f>IF(('ErP Inputs'!$H$21)=(TRUE),IF(AND($D$20&lt;$D$15,$D$20&gt;D$19),IF($D$20=D30,COPPL_Tbiv,IF($D$20&gt;D30,((COPPL_Tbiv-COPPL_TOL)/($D$20-$D$19)*(D30-$D$20)+COPPL_TOL),((COPPL_a-COPPL_TOL)/($D$15-$D$20)*(D30-$D$15)+COPPL_a))),((COPPL_a-COPPL_TOL)/($D$15-$D$19)*(D30-$D$15)+COPPL_a)),((COPPL_a-COPPL_TOL)/($D$15-$D$19)*(D30-$D$15)+COPPL_a))</f>
        <v>#DIV/0!</v>
      </c>
      <c r="N30" s="220">
        <f>IFERROR(E30*((G30-K30)/M30+K30),L30)</f>
        <v>0</v>
      </c>
      <c r="P30" s="220">
        <f t="shared" si="8"/>
        <v>0</v>
      </c>
      <c r="Q30" s="220">
        <f>IF(P29=0,L30,E30*(G30-K30)/M30)</f>
        <v>0</v>
      </c>
      <c r="R30" s="217" t="b">
        <f>IF(AND(G30*0.9&gt;I30,G31*0.9&lt;I31),D30,FALSE)</f>
        <v>0</v>
      </c>
      <c r="S30" s="260" t="str">
        <f t="shared" ref="S30:S54" si="12">IF(R30=FALSE,"N/A",D30)</f>
        <v>N/A</v>
      </c>
      <c r="T30" s="269"/>
    </row>
    <row r="31" spans="3:20" x14ac:dyDescent="0.25">
      <c r="C31" s="36">
        <v>23</v>
      </c>
      <c r="D31" s="36">
        <v>-8</v>
      </c>
      <c r="E31" s="36">
        <f>HLOOKUP($D$3,'Table 37'!$B$3:$F$51,26,FALSE)</f>
        <v>23</v>
      </c>
      <c r="F31" s="219">
        <f t="shared" si="6"/>
        <v>0.92307692307692313</v>
      </c>
      <c r="G31" s="219">
        <f t="shared" si="9"/>
        <v>0</v>
      </c>
      <c r="H31" s="220">
        <f t="shared" si="7"/>
        <v>0</v>
      </c>
      <c r="I31" s="219">
        <f>IF(D19&gt;D31,0,IF(D19=D31,I19,(($I$15-$I$19)/($D$15-$D$19)*(D31-$D$19)+$I$19)))</f>
        <v>0</v>
      </c>
      <c r="J31" s="219">
        <f>IF(D19&gt;=-7,0,IF(G31&lt;(($I$15-$I$19)/($D$15-$D$19)*(D31-$D$19)+$I$19),G31,(($I$15-$I$19)/($D$15-$D$19)*(D31-$D$19)+$I$19)))</f>
        <v>0</v>
      </c>
      <c r="K31" s="221">
        <f t="shared" si="10"/>
        <v>0</v>
      </c>
      <c r="L31" s="220">
        <f t="shared" si="11"/>
        <v>0</v>
      </c>
      <c r="M31" s="221" t="e">
        <f>IF(('ErP Inputs'!$H$21)=(TRUE),IF(AND($D$20&lt;$D$15,$D$20&gt;D$19),IF($D$20=D31,COPPL_Tbiv,IF($D$20&gt;D31,((COPPL_Tbiv-COPPL_TOL)/($D$20-$D$19)*(D31-$D$20)+COPPL_TOL),((COPPL_a-COPPL_TOL)/($D$15-$D$20)*(D31-$D$15)+COPPL_a))),((COPPL_a-COPPL_TOL)/($D$15-$D$19)*(D31-$D$15)+COPPL_a)),((COPPL_a-COPPL_TOL)/($D$15-$D$19)*(D31-$D$15)+COPPL_a))</f>
        <v>#DIV/0!</v>
      </c>
      <c r="N31" s="220">
        <f>IFERROR(E31*((G31-K31)/M31+K31),L31)</f>
        <v>0</v>
      </c>
      <c r="P31" s="220">
        <f t="shared" si="8"/>
        <v>0</v>
      </c>
      <c r="Q31" s="220">
        <f>IF(P29=0,L31,E31*(G31-K31)/M31)</f>
        <v>0</v>
      </c>
      <c r="R31" s="217" t="b">
        <f t="shared" ref="R31:R54" si="13">IF(AND(G31*0.9&gt;I31,G32*0.9&lt;I32),D31,FALSE)</f>
        <v>0</v>
      </c>
      <c r="S31" s="260" t="str">
        <f t="shared" si="12"/>
        <v>N/A</v>
      </c>
      <c r="T31" s="269"/>
    </row>
    <row r="32" spans="3:20" x14ac:dyDescent="0.25">
      <c r="C32" s="36">
        <v>24</v>
      </c>
      <c r="D32" s="36">
        <v>-7</v>
      </c>
      <c r="E32" s="36">
        <f>HLOOKUP($D$3,'Table 37'!$B$3:$F$51,27,FALSE)</f>
        <v>24</v>
      </c>
      <c r="F32" s="219">
        <f t="shared" si="6"/>
        <v>0.88461538461538458</v>
      </c>
      <c r="G32" s="219">
        <f t="shared" si="9"/>
        <v>0</v>
      </c>
      <c r="H32" s="220">
        <f t="shared" si="7"/>
        <v>0</v>
      </c>
      <c r="I32" s="157">
        <f>I15</f>
        <v>0</v>
      </c>
      <c r="J32" s="157">
        <f>IF(G32&lt;I15,G32,I15)</f>
        <v>0</v>
      </c>
      <c r="K32" s="221">
        <f t="shared" si="10"/>
        <v>0</v>
      </c>
      <c r="L32" s="220">
        <f t="shared" si="11"/>
        <v>0</v>
      </c>
      <c r="M32" s="244" t="e">
        <f>COPPL_a</f>
        <v>#DIV/0!</v>
      </c>
      <c r="N32" s="220" t="e">
        <f t="shared" ref="N32:N54" si="14">E32*((G32-K32)/M32+K32)</f>
        <v>#DIV/0!</v>
      </c>
      <c r="P32" s="220">
        <f t="shared" si="8"/>
        <v>0</v>
      </c>
      <c r="Q32" s="220" t="e">
        <f t="shared" ref="Q32:Q54" si="15">E32*(G32-K32)/M32</f>
        <v>#DIV/0!</v>
      </c>
      <c r="R32" s="217" t="b">
        <f t="shared" si="13"/>
        <v>0</v>
      </c>
      <c r="S32" s="260" t="str">
        <f t="shared" si="12"/>
        <v>N/A</v>
      </c>
      <c r="T32" s="269"/>
    </row>
    <row r="33" spans="3:20" x14ac:dyDescent="0.25">
      <c r="C33" s="36">
        <v>25</v>
      </c>
      <c r="D33" s="36">
        <v>-6</v>
      </c>
      <c r="E33" s="36">
        <f>HLOOKUP($D$3,'Table 37'!$B$3:$F$51,28,FALSE)</f>
        <v>27</v>
      </c>
      <c r="F33" s="219">
        <f t="shared" si="6"/>
        <v>0.84615384615384615</v>
      </c>
      <c r="G33" s="219">
        <f t="shared" si="9"/>
        <v>0</v>
      </c>
      <c r="H33" s="220">
        <f t="shared" si="7"/>
        <v>0</v>
      </c>
      <c r="I33" s="219">
        <f>(($I$16-$I$15)/($D$16-$D$15)*(D33-$D$15)+$I$15)</f>
        <v>0</v>
      </c>
      <c r="J33" s="219">
        <f>IF(G33&lt;(($I$16-$I$15)/($D$16-$D$15)*(D33-$D$15)+$I$15),G33,(($I$16-$I$15)/($D$16-$D$15)*(D33-$D$15)+$I$15))</f>
        <v>0</v>
      </c>
      <c r="K33" s="221">
        <f t="shared" si="10"/>
        <v>0</v>
      </c>
      <c r="L33" s="220">
        <f t="shared" si="11"/>
        <v>0</v>
      </c>
      <c r="M33" s="221" t="e">
        <f>IF(('ErP Inputs'!$H$21)=(TRUE),IF(AND($D$20&lt;$D$16,$D$20&gt;D$15),IF($D$20=D33,COPPL_Tbiv,IF($D$20&gt;D33,((COPPL_Tbiv-COPPL_a)/($D$20-$D$15)*(D33-$D$20)+COPPL_Tbiv),((COPPL_b-COPPL_Tbiv)/($D$16-$D$20)*(D33-$D$16)+COPPL_b))),((COPPL_b-COPPL_a)/($D$16-$D$15)*(D33-$D$15)+COPPL_a)),((COPPL_b-COPPL_a)/($D$16-$D$15)*(D33-$D$15)+COPPL_a))</f>
        <v>#DIV/0!</v>
      </c>
      <c r="N33" s="220" t="e">
        <f t="shared" si="14"/>
        <v>#DIV/0!</v>
      </c>
      <c r="P33" s="220">
        <f t="shared" si="8"/>
        <v>0</v>
      </c>
      <c r="Q33" s="220" t="e">
        <f t="shared" si="15"/>
        <v>#DIV/0!</v>
      </c>
      <c r="R33" s="217" t="b">
        <f t="shared" si="13"/>
        <v>0</v>
      </c>
      <c r="S33" s="260" t="str">
        <f t="shared" si="12"/>
        <v>N/A</v>
      </c>
      <c r="T33" s="269"/>
    </row>
    <row r="34" spans="3:20" x14ac:dyDescent="0.25">
      <c r="C34" s="36">
        <v>26</v>
      </c>
      <c r="D34" s="36">
        <v>-5</v>
      </c>
      <c r="E34" s="36">
        <f>HLOOKUP($D$3,'Table 37'!$B$3:$F$51,29,FALSE)</f>
        <v>68</v>
      </c>
      <c r="F34" s="219">
        <f t="shared" si="6"/>
        <v>0.80769230769230771</v>
      </c>
      <c r="G34" s="219">
        <f t="shared" si="9"/>
        <v>0</v>
      </c>
      <c r="H34" s="220">
        <f t="shared" si="7"/>
        <v>0</v>
      </c>
      <c r="I34" s="219">
        <f>(($I$16-$I$15)/($D$16-$D$15)*(D34-$D$15)+$I$15)</f>
        <v>0</v>
      </c>
      <c r="J34" s="219">
        <f>IF(G34&lt;(($I$16-$I$15)/($D$16-$D$15)*(D34-$D$15)+$I$15),G34,(($I$16-$I$15)/($D$16-$D$15)*(D34-$D$15)+$I$15))</f>
        <v>0</v>
      </c>
      <c r="K34" s="221">
        <f t="shared" si="10"/>
        <v>0</v>
      </c>
      <c r="L34" s="220">
        <f t="shared" si="11"/>
        <v>0</v>
      </c>
      <c r="M34" s="221" t="e">
        <f>IF(('ErP Inputs'!$H$21)=(TRUE),IF(AND($D$20&lt;$D$16,$D$20&gt;D$15),IF($D$20=D34,COPPL_Tbiv,IF($D$20&gt;D34,((COPPL_Tbiv-COPPL_a)/($D$20-$D$15)*(D34-$D$20)+COPPL_Tbiv),((COPPL_b-COPPL_Tbiv)/($D$16-$D$20)*(D34-$D$16)+COPPL_b))),((COPPL_b-COPPL_a)/($D$16-$D$15)*(D34-$D$15)+COPPL_a)),((COPPL_b-COPPL_a)/($D$16-$D$15)*(D34-$D$15)+COPPL_a))</f>
        <v>#DIV/0!</v>
      </c>
      <c r="N34" s="220" t="e">
        <f t="shared" si="14"/>
        <v>#DIV/0!</v>
      </c>
      <c r="P34" s="220">
        <f t="shared" si="8"/>
        <v>0</v>
      </c>
      <c r="Q34" s="220" t="e">
        <f t="shared" si="15"/>
        <v>#DIV/0!</v>
      </c>
      <c r="R34" s="217" t="b">
        <f t="shared" si="13"/>
        <v>0</v>
      </c>
      <c r="S34" s="260" t="str">
        <f t="shared" si="12"/>
        <v>N/A</v>
      </c>
      <c r="T34" s="269"/>
    </row>
    <row r="35" spans="3:20" x14ac:dyDescent="0.25">
      <c r="C35" s="36">
        <v>27</v>
      </c>
      <c r="D35" s="36">
        <v>-4</v>
      </c>
      <c r="E35" s="36">
        <f>HLOOKUP($D$3,'Table 37'!$B$3:$F$51,30,FALSE)</f>
        <v>91</v>
      </c>
      <c r="F35" s="219">
        <f t="shared" si="6"/>
        <v>0.76923076923076927</v>
      </c>
      <c r="G35" s="219">
        <f t="shared" si="9"/>
        <v>0</v>
      </c>
      <c r="H35" s="220">
        <f t="shared" si="7"/>
        <v>0</v>
      </c>
      <c r="I35" s="219">
        <f>(($I$16-$I$15)/($D$16-$D$15)*(D35-$D$15)+$I$15)</f>
        <v>0</v>
      </c>
      <c r="J35" s="219">
        <f>IF(G35&lt;(($I$16-$I$15)/($D$16-$D$15)*(D35-$D$15)+$I$15),G35,(($I$16-$I$15)/($D$16-$D$15)*(D35-$D$15)+$I$15))</f>
        <v>0</v>
      </c>
      <c r="K35" s="221">
        <f t="shared" si="10"/>
        <v>0</v>
      </c>
      <c r="L35" s="220">
        <f t="shared" si="11"/>
        <v>0</v>
      </c>
      <c r="M35" s="221" t="e">
        <f>IF(('ErP Inputs'!$H$21)=(TRUE),IF(AND($D$20&lt;$D$16,$D$20&gt;D$15),IF($D$20=D35,COPPL_Tbiv,IF($D$20&gt;D35,((COPPL_Tbiv-COPPL_a)/($D$20-$D$15)*(D35-$D$20)+COPPL_Tbiv),((COPPL_b-COPPL_Tbiv)/($D$16-$D$20)*(D35-$D$16)+COPPL_b))),((COPPL_b-COPPL_a)/($D$16-$D$15)*(D35-$D$15)+COPPL_a)),((COPPL_b-COPPL_a)/($D$16-$D$15)*(D35-$D$15)+COPPL_a))</f>
        <v>#DIV/0!</v>
      </c>
      <c r="N35" s="220" t="e">
        <f t="shared" si="14"/>
        <v>#DIV/0!</v>
      </c>
      <c r="P35" s="220">
        <f t="shared" si="8"/>
        <v>0</v>
      </c>
      <c r="Q35" s="220" t="e">
        <f t="shared" si="15"/>
        <v>#DIV/0!</v>
      </c>
      <c r="R35" s="217" t="b">
        <f t="shared" si="13"/>
        <v>0</v>
      </c>
      <c r="S35" s="260" t="str">
        <f t="shared" si="12"/>
        <v>N/A</v>
      </c>
      <c r="T35" s="269"/>
    </row>
    <row r="36" spans="3:20" x14ac:dyDescent="0.25">
      <c r="C36" s="36">
        <v>28</v>
      </c>
      <c r="D36" s="36">
        <v>-3</v>
      </c>
      <c r="E36" s="36">
        <f>HLOOKUP($D$3,'Table 37'!$B$3:$F$51,31,FALSE)</f>
        <v>89</v>
      </c>
      <c r="F36" s="219">
        <f t="shared" si="6"/>
        <v>0.73076923076923073</v>
      </c>
      <c r="G36" s="219">
        <f t="shared" si="9"/>
        <v>0</v>
      </c>
      <c r="H36" s="220">
        <f t="shared" si="7"/>
        <v>0</v>
      </c>
      <c r="I36" s="219">
        <f>(($I$16-$I$15)/($D$16-$D$15)*(D36-$D$15)+$I$15)</f>
        <v>0</v>
      </c>
      <c r="J36" s="219">
        <f>IF(G36&lt;(($I$16-$I$15)/($D$16-$D$15)*(D36-$D$15)+$I$15),G36,(($I$16-$I$15)/($D$16-$D$15)*(D36-$D$15)+$I$15))</f>
        <v>0</v>
      </c>
      <c r="K36" s="221">
        <f t="shared" si="10"/>
        <v>0</v>
      </c>
      <c r="L36" s="220">
        <f t="shared" si="11"/>
        <v>0</v>
      </c>
      <c r="M36" s="221" t="e">
        <f>IF(('ErP Inputs'!$H$21)=(TRUE),IF(AND($D$20&lt;$D$16,$D$20&gt;D$15),IF($D$20=D36,COPPL_Tbiv,IF($D$20&gt;D36,((COPPL_Tbiv-COPPL_a)/($D$20-$D$15)*(D36-$D$20)+COPPL_Tbiv),((COPPL_b-COPPL_Tbiv)/($D$16-$D$20)*(D36-$D$16)+COPPL_b))),((COPPL_b-COPPL_a)/($D$16-$D$15)*(D36-$D$15)+COPPL_a)),((COPPL_b-COPPL_a)/($D$16-$D$15)*(D36-$D$15)+COPPL_a))</f>
        <v>#DIV/0!</v>
      </c>
      <c r="N36" s="220" t="e">
        <f t="shared" si="14"/>
        <v>#DIV/0!</v>
      </c>
      <c r="P36" s="220">
        <f t="shared" si="8"/>
        <v>0</v>
      </c>
      <c r="Q36" s="220" t="e">
        <f t="shared" si="15"/>
        <v>#DIV/0!</v>
      </c>
      <c r="R36" s="217" t="b">
        <f t="shared" si="13"/>
        <v>0</v>
      </c>
      <c r="S36" s="260" t="str">
        <f t="shared" si="12"/>
        <v>N/A</v>
      </c>
      <c r="T36" s="269"/>
    </row>
    <row r="37" spans="3:20" x14ac:dyDescent="0.25">
      <c r="C37" s="36">
        <v>29</v>
      </c>
      <c r="D37" s="36">
        <v>-2</v>
      </c>
      <c r="E37" s="36">
        <f>HLOOKUP($D$3,'Table 37'!$B$3:$F$51,32,FALSE)</f>
        <v>165</v>
      </c>
      <c r="F37" s="219">
        <f t="shared" si="6"/>
        <v>0.69230769230769229</v>
      </c>
      <c r="G37" s="219">
        <f t="shared" si="9"/>
        <v>0</v>
      </c>
      <c r="H37" s="220">
        <f t="shared" si="7"/>
        <v>0</v>
      </c>
      <c r="I37" s="219">
        <f>(($I$16-$I$15)/($D$16-$D$15)*(D37-$D$15)+$I$15)</f>
        <v>0</v>
      </c>
      <c r="J37" s="219">
        <f>IF(G37&lt;(($I$16-$I$15)/($D$16-$D$15)*(D37-$D$15)+$I$15),G37,(($I$16-$I$15)/($D$16-$D$15)*(D37-$D$15)+$I$15))</f>
        <v>0</v>
      </c>
      <c r="K37" s="221">
        <f t="shared" si="10"/>
        <v>0</v>
      </c>
      <c r="L37" s="220">
        <f t="shared" si="11"/>
        <v>0</v>
      </c>
      <c r="M37" s="221" t="e">
        <f>IF(('ErP Inputs'!$H$21)=(TRUE),IF(AND($D$20&lt;$D$16,$D$20&gt;D$15),IF($D$20=D37,COPPL_Tbiv,IF($D$20&gt;D37,((COPPL_Tbiv-COPPL_a)/($D$20-$D$15)*(D37-$D$20)+COPPL_Tbiv),((COPPL_b-COPPL_Tbiv)/($D$16-$D$20)*(D37-$D$16)+COPPL_b))),((COPPL_b-COPPL_a)/($D$16-$D$15)*(D37-$D$15)+COPPL_a)),((COPPL_b-COPPL_a)/($D$16-$D$15)*(D37-$D$15)+COPPL_a))</f>
        <v>#DIV/0!</v>
      </c>
      <c r="N37" s="220" t="e">
        <f t="shared" si="14"/>
        <v>#DIV/0!</v>
      </c>
      <c r="P37" s="220">
        <f t="shared" si="8"/>
        <v>0</v>
      </c>
      <c r="Q37" s="220" t="e">
        <f t="shared" si="15"/>
        <v>#DIV/0!</v>
      </c>
      <c r="R37" s="217" t="b">
        <f t="shared" si="13"/>
        <v>0</v>
      </c>
      <c r="S37" s="260" t="str">
        <f t="shared" si="12"/>
        <v>N/A</v>
      </c>
      <c r="T37" s="269"/>
    </row>
    <row r="38" spans="3:20" x14ac:dyDescent="0.25">
      <c r="C38" s="36">
        <v>30</v>
      </c>
      <c r="D38" s="36">
        <v>-1</v>
      </c>
      <c r="E38" s="36">
        <f>HLOOKUP($D$3,'Table 37'!$B$3:$F$51,33,FALSE)</f>
        <v>173</v>
      </c>
      <c r="F38" s="219">
        <f t="shared" si="6"/>
        <v>0.65384615384615385</v>
      </c>
      <c r="G38" s="219">
        <f t="shared" si="9"/>
        <v>0</v>
      </c>
      <c r="H38" s="220">
        <f t="shared" si="7"/>
        <v>0</v>
      </c>
      <c r="I38" s="219">
        <f>(($I$16-$I$15)/($D$16-$D$15)*(D38-$D$15)+$I$15)</f>
        <v>0</v>
      </c>
      <c r="J38" s="219">
        <f>IF(G38&lt;(($I$16-$I$15)/($D$16-$D$15)*(D38-$D$15)+$I$15),G38,(($I$16-$I$15)/($D$16-$D$15)*(D38-$D$15)+$I$15))</f>
        <v>0</v>
      </c>
      <c r="K38" s="221">
        <f t="shared" si="10"/>
        <v>0</v>
      </c>
      <c r="L38" s="220">
        <f t="shared" si="11"/>
        <v>0</v>
      </c>
      <c r="M38" s="221" t="e">
        <f>IF(('ErP Inputs'!$H$21)=(TRUE),IF(AND($D$20&lt;$D$16,$D$20&gt;D$15),IF($D$20=D38,COPPL_Tbiv,IF($D$20&gt;D38,((COPPL_Tbiv-COPPL_a)/($D$20-$D$15)*(D38-$D$20)+COPPL_Tbiv),((COPPL_b-COPPL_Tbiv)/($D$16-$D$20)*(D38-$D$16)+COPPL_b))),((COPPL_b-COPPL_a)/($D$16-$D$15)*(D38-$D$15)+COPPL_a)),((COPPL_b-COPPL_a)/($D$16-$D$15)*(D38-$D$15)+COPPL_a))</f>
        <v>#DIV/0!</v>
      </c>
      <c r="N38" s="220" t="e">
        <f t="shared" si="14"/>
        <v>#DIV/0!</v>
      </c>
      <c r="P38" s="220">
        <f t="shared" si="8"/>
        <v>0</v>
      </c>
      <c r="Q38" s="220" t="e">
        <f t="shared" si="15"/>
        <v>#DIV/0!</v>
      </c>
      <c r="R38" s="217" t="b">
        <f t="shared" si="13"/>
        <v>0</v>
      </c>
      <c r="S38" s="260" t="str">
        <f t="shared" si="12"/>
        <v>N/A</v>
      </c>
      <c r="T38" s="269"/>
    </row>
    <row r="39" spans="3:20" x14ac:dyDescent="0.25">
      <c r="C39" s="36">
        <v>31</v>
      </c>
      <c r="D39" s="36">
        <v>0</v>
      </c>
      <c r="E39" s="36">
        <f>HLOOKUP($D$3,'Table 37'!$B$3:$F$51,34,FALSE)</f>
        <v>240</v>
      </c>
      <c r="F39" s="219">
        <f t="shared" si="6"/>
        <v>0.61538461538461542</v>
      </c>
      <c r="G39" s="219">
        <f t="shared" si="9"/>
        <v>0</v>
      </c>
      <c r="H39" s="220">
        <f t="shared" si="7"/>
        <v>0</v>
      </c>
      <c r="I39" s="219">
        <f>(($I$16-$I$15)/($D$16-$D$15)*(D39-$D$15)+$I$15)</f>
        <v>0</v>
      </c>
      <c r="J39" s="219">
        <f>IF(G39&lt;(($I$16-$I$15)/($D$16-$D$15)*(D39-$D$15)+$I$15),G39,(($I$16-$I$15)/($D$16-$D$15)*(D39-$D$15)+$I$15))</f>
        <v>0</v>
      </c>
      <c r="K39" s="221">
        <f t="shared" si="10"/>
        <v>0</v>
      </c>
      <c r="L39" s="220">
        <f t="shared" si="11"/>
        <v>0</v>
      </c>
      <c r="M39" s="221" t="e">
        <f>IF(('ErP Inputs'!$H$21)=(TRUE),IF(AND($D$20&lt;$D$16,$D$20&gt;D$15),IF($D$20=D39,COPPL_Tbiv,IF($D$20&gt;D39,((COPPL_Tbiv-COPPL_a)/($D$20-$D$15)*(D39-$D$20)+COPPL_Tbiv),((COPPL_b-COPPL_Tbiv)/($D$16-$D$20)*(D39-$D$16)+COPPL_b))),((COPPL_b-COPPL_a)/($D$16-$D$15)*(D39-$D$15)+COPPL_a)),((COPPL_b-COPPL_a)/($D$16-$D$15)*(D39-$D$15)+COPPL_a))</f>
        <v>#DIV/0!</v>
      </c>
      <c r="N39" s="220" t="e">
        <f t="shared" si="14"/>
        <v>#DIV/0!</v>
      </c>
      <c r="P39" s="220">
        <f t="shared" si="8"/>
        <v>0</v>
      </c>
      <c r="Q39" s="220" t="e">
        <f t="shared" si="15"/>
        <v>#DIV/0!</v>
      </c>
      <c r="R39" s="217" t="b">
        <f t="shared" si="13"/>
        <v>0</v>
      </c>
      <c r="S39" s="260" t="str">
        <f t="shared" si="12"/>
        <v>N/A</v>
      </c>
      <c r="T39" s="269"/>
    </row>
    <row r="40" spans="3:20" x14ac:dyDescent="0.25">
      <c r="C40" s="36">
        <v>32</v>
      </c>
      <c r="D40" s="36">
        <v>1</v>
      </c>
      <c r="E40" s="36">
        <f>HLOOKUP($D$3,'Table 37'!$B$3:$F$51,35,FALSE)</f>
        <v>280</v>
      </c>
      <c r="F40" s="219">
        <f t="shared" si="6"/>
        <v>0.57692307692307687</v>
      </c>
      <c r="G40" s="219">
        <f t="shared" si="9"/>
        <v>0</v>
      </c>
      <c r="H40" s="220">
        <f t="shared" si="7"/>
        <v>0</v>
      </c>
      <c r="I40" s="219">
        <f>(($I$16-$I$15)/($D$16-$D$15)*(D40-$D$15)+$I$15)</f>
        <v>0</v>
      </c>
      <c r="J40" s="219">
        <f>IF(G40&lt;(($I$16-$I$15)/($D$16-$D$15)*(D40-$D$15)+$I$15),G40,(($I$16-$I$15)/($D$16-$D$15)*(D40-$D$15)+$I$15))</f>
        <v>0</v>
      </c>
      <c r="K40" s="221">
        <f t="shared" si="10"/>
        <v>0</v>
      </c>
      <c r="L40" s="220">
        <f t="shared" si="11"/>
        <v>0</v>
      </c>
      <c r="M40" s="221" t="e">
        <f>IF(('ErP Inputs'!$H$21)=(TRUE),IF(AND($D$20&lt;$D$16,$D$20&gt;D$15),IF($D$20=D40,COPPL_Tbiv,IF($D$20&gt;D40,((COPPL_Tbiv-COPPL_a)/($D$20-$D$15)*(D40-$D$20)+COPPL_Tbiv),((COPPL_b-COPPL_Tbiv)/($D$16-$D$20)*(D40-$D$16)+COPPL_b))),((COPPL_b-COPPL_a)/($D$16-$D$15)*(D40-$D$15)+COPPL_a)),((COPPL_b-COPPL_a)/($D$16-$D$15)*(D40-$D$15)+COPPL_a))</f>
        <v>#DIV/0!</v>
      </c>
      <c r="N40" s="220" t="e">
        <f t="shared" si="14"/>
        <v>#DIV/0!</v>
      </c>
      <c r="P40" s="220">
        <f t="shared" si="8"/>
        <v>0</v>
      </c>
      <c r="Q40" s="220" t="e">
        <f t="shared" si="15"/>
        <v>#DIV/0!</v>
      </c>
      <c r="R40" s="217" t="b">
        <f t="shared" si="13"/>
        <v>0</v>
      </c>
      <c r="S40" s="260" t="str">
        <f t="shared" si="12"/>
        <v>N/A</v>
      </c>
      <c r="T40" s="269"/>
    </row>
    <row r="41" spans="3:20" x14ac:dyDescent="0.25">
      <c r="C41" s="36">
        <v>33</v>
      </c>
      <c r="D41" s="36">
        <v>2</v>
      </c>
      <c r="E41" s="36">
        <f>HLOOKUP($D$3,'Table 37'!$B$3:$F$51,36,FALSE)</f>
        <v>320</v>
      </c>
      <c r="F41" s="219">
        <f t="shared" si="6"/>
        <v>0.53846153846153844</v>
      </c>
      <c r="G41" s="219">
        <f t="shared" si="9"/>
        <v>0</v>
      </c>
      <c r="H41" s="220">
        <f t="shared" si="7"/>
        <v>0</v>
      </c>
      <c r="I41" s="157">
        <f>I16</f>
        <v>0</v>
      </c>
      <c r="J41" s="157">
        <f>IF(G41&lt;I16,G41,I16)</f>
        <v>0</v>
      </c>
      <c r="K41" s="221">
        <f t="shared" si="10"/>
        <v>0</v>
      </c>
      <c r="L41" s="220">
        <f t="shared" si="11"/>
        <v>0</v>
      </c>
      <c r="M41" s="244" t="e">
        <f>COPPL_b</f>
        <v>#DIV/0!</v>
      </c>
      <c r="N41" s="220" t="e">
        <f t="shared" si="14"/>
        <v>#DIV/0!</v>
      </c>
      <c r="P41" s="220">
        <f t="shared" si="8"/>
        <v>0</v>
      </c>
      <c r="Q41" s="220" t="e">
        <f t="shared" si="15"/>
        <v>#DIV/0!</v>
      </c>
      <c r="R41" s="217" t="b">
        <f t="shared" si="13"/>
        <v>0</v>
      </c>
      <c r="S41" s="260" t="str">
        <f t="shared" si="12"/>
        <v>N/A</v>
      </c>
      <c r="T41" s="269"/>
    </row>
    <row r="42" spans="3:20" x14ac:dyDescent="0.25">
      <c r="C42" s="36">
        <v>34</v>
      </c>
      <c r="D42" s="36">
        <v>3</v>
      </c>
      <c r="E42" s="36">
        <f>HLOOKUP($D$3,'Table 37'!$B$3:$F$51,37,FALSE)</f>
        <v>357</v>
      </c>
      <c r="F42" s="219">
        <f t="shared" si="6"/>
        <v>0.5</v>
      </c>
      <c r="G42" s="219">
        <f t="shared" si="9"/>
        <v>0</v>
      </c>
      <c r="H42" s="220">
        <f t="shared" si="7"/>
        <v>0</v>
      </c>
      <c r="I42" s="219">
        <f>(($I$17-$I$16)/($D$17-$D$16)*(D42-$D$16)+$I$16)</f>
        <v>0</v>
      </c>
      <c r="J42" s="219">
        <f>IF(G42&lt;(($I$17-$I$16)/($D$17-$D$16)*(D42-$D$16)+$I$16),G42,(($I$17-$I$16)/($D$17-$D$16)*(D42-$D$16)+$I$16))</f>
        <v>0</v>
      </c>
      <c r="K42" s="221">
        <f t="shared" si="10"/>
        <v>0</v>
      </c>
      <c r="L42" s="220">
        <f t="shared" si="11"/>
        <v>0</v>
      </c>
      <c r="M42" s="221" t="e">
        <f>IF(('ErP Inputs'!$H$21)=(TRUE),IF(AND($D$20&lt;$D$17,$D$20&gt;D$16),IF($D$20=D42,COPPL_Tbiv,IF($D$20&gt;D42,((COPPL_Tbiv-COPPL_b)/($D$20-$D$16)*(D42-$D$20)+COPPL_Tbiv),((COPPL_c-COPPL_Tbiv)/($D$17-$D$20)*(D42-$D$17)+COPPL_c))),((COPPL_c-COPPL_b)/($D$17-$D$16)*(D42-$D$16)+COPPL_b)),((COPPL_c-COPPL_b)/($D$17-$D$16)*(D42-$D$16)+COPPL_b))</f>
        <v>#DIV/0!</v>
      </c>
      <c r="N42" s="220" t="e">
        <f t="shared" si="14"/>
        <v>#DIV/0!</v>
      </c>
      <c r="P42" s="220">
        <f t="shared" si="8"/>
        <v>0</v>
      </c>
      <c r="Q42" s="220" t="e">
        <f t="shared" si="15"/>
        <v>#DIV/0!</v>
      </c>
      <c r="R42" s="217" t="b">
        <f t="shared" si="13"/>
        <v>0</v>
      </c>
      <c r="S42" s="260" t="str">
        <f t="shared" si="12"/>
        <v>N/A</v>
      </c>
      <c r="T42" s="269"/>
    </row>
    <row r="43" spans="3:20" x14ac:dyDescent="0.25">
      <c r="C43" s="36">
        <v>35</v>
      </c>
      <c r="D43" s="36">
        <v>4</v>
      </c>
      <c r="E43" s="36">
        <f>HLOOKUP($D$3,'Table 37'!$B$3:$F$51,38,FALSE)</f>
        <v>356</v>
      </c>
      <c r="F43" s="219">
        <f t="shared" si="6"/>
        <v>0.46153846153846156</v>
      </c>
      <c r="G43" s="219">
        <f t="shared" si="9"/>
        <v>0</v>
      </c>
      <c r="H43" s="220">
        <f t="shared" si="7"/>
        <v>0</v>
      </c>
      <c r="I43" s="219">
        <f>(($I$17-$I$16)/($D$17-$D$16)*(D43-$D$16)+$I$16)</f>
        <v>0</v>
      </c>
      <c r="J43" s="219">
        <f>IF(G43&lt;(($I$17-$I$16)/($D$17-$D$16)*(D43-$D$16)+$I$16),G43,(($I$17-$I$16)/($D$17-$D$16)*(D43-$D$16)+$I$16))</f>
        <v>0</v>
      </c>
      <c r="K43" s="221">
        <f t="shared" si="10"/>
        <v>0</v>
      </c>
      <c r="L43" s="220">
        <f t="shared" si="11"/>
        <v>0</v>
      </c>
      <c r="M43" s="221" t="e">
        <f>IF(('ErP Inputs'!$H$21)=(TRUE),IF(AND($D$20&lt;$D$17,$D$20&gt;D$16),IF($D$20=D43,COPPL_Tbiv,IF($D$20&gt;D43,((COPPL_Tbiv-COPPL_b)/($D$20-$D$16)*(D43-$D$20)+COPPL_Tbiv),((COPPL_c-COPPL_Tbiv)/($D$17-$D$20)*(D43-$D$17)+COPPL_c))),((COPPL_c-COPPL_b)/($D$17-$D$16)*(D43-$D$16)+COPPL_b)),((COPPL_c-COPPL_b)/($D$17-$D$16)*(D43-$D$16)+COPPL_b))</f>
        <v>#DIV/0!</v>
      </c>
      <c r="N43" s="220" t="e">
        <f t="shared" si="14"/>
        <v>#DIV/0!</v>
      </c>
      <c r="P43" s="220">
        <f t="shared" si="8"/>
        <v>0</v>
      </c>
      <c r="Q43" s="220" t="e">
        <f t="shared" si="15"/>
        <v>#DIV/0!</v>
      </c>
      <c r="R43" s="217" t="b">
        <f t="shared" si="13"/>
        <v>0</v>
      </c>
      <c r="S43" s="260" t="str">
        <f t="shared" si="12"/>
        <v>N/A</v>
      </c>
      <c r="T43" s="269"/>
    </row>
    <row r="44" spans="3:20" x14ac:dyDescent="0.25">
      <c r="C44" s="36">
        <v>36</v>
      </c>
      <c r="D44" s="36">
        <v>5</v>
      </c>
      <c r="E44" s="36">
        <f>HLOOKUP($D$3,'Table 37'!$B$3:$F$51,39,FALSE)</f>
        <v>303</v>
      </c>
      <c r="F44" s="219">
        <f t="shared" si="6"/>
        <v>0.42307692307692307</v>
      </c>
      <c r="G44" s="219">
        <f t="shared" si="9"/>
        <v>0</v>
      </c>
      <c r="H44" s="220">
        <f t="shared" si="7"/>
        <v>0</v>
      </c>
      <c r="I44" s="219">
        <f>(($I$17-$I$16)/($D$17-$D$16)*(D44-$D$16)+$I$16)</f>
        <v>0</v>
      </c>
      <c r="J44" s="219">
        <f>IF(G44&lt;(($I$17-$I$16)/($D$17-$D$16)*(D44-$D$16)+$I$16),G44,(($I$17-$I$16)/($D$17-$D$16)*(D44-$D$16)+$I$16))</f>
        <v>0</v>
      </c>
      <c r="K44" s="221">
        <f t="shared" si="10"/>
        <v>0</v>
      </c>
      <c r="L44" s="220">
        <f t="shared" si="11"/>
        <v>0</v>
      </c>
      <c r="M44" s="221" t="e">
        <f>IF(('ErP Inputs'!$H$21)=(TRUE),IF(AND($D$20&lt;$D$17,$D$20&gt;D$16),IF($D$20=D44,COPPL_Tbiv,IF($D$20&gt;D44,((COPPL_Tbiv-COPPL_b)/($D$20-$D$16)*(D44-$D$20)+COPPL_Tbiv),((COPPL_c-COPPL_Tbiv)/($D$17-$D$20)*(D44-$D$17)+COPPL_c))),((COPPL_c-COPPL_b)/($D$17-$D$16)*(D44-$D$16)+COPPL_b)),((COPPL_c-COPPL_b)/($D$17-$D$16)*(D44-$D$16)+COPPL_b))</f>
        <v>#DIV/0!</v>
      </c>
      <c r="N44" s="220" t="e">
        <f t="shared" si="14"/>
        <v>#DIV/0!</v>
      </c>
      <c r="P44" s="220">
        <f t="shared" si="8"/>
        <v>0</v>
      </c>
      <c r="Q44" s="220" t="e">
        <f t="shared" si="15"/>
        <v>#DIV/0!</v>
      </c>
      <c r="R44" s="217" t="b">
        <f t="shared" si="13"/>
        <v>0</v>
      </c>
      <c r="S44" s="260" t="str">
        <f t="shared" si="12"/>
        <v>N/A</v>
      </c>
      <c r="T44" s="269"/>
    </row>
    <row r="45" spans="3:20" x14ac:dyDescent="0.25">
      <c r="C45" s="36">
        <v>37</v>
      </c>
      <c r="D45" s="36">
        <v>6</v>
      </c>
      <c r="E45" s="36">
        <f>HLOOKUP($D$3,'Table 37'!$B$3:$F$51,40,FALSE)</f>
        <v>330</v>
      </c>
      <c r="F45" s="219">
        <f t="shared" si="6"/>
        <v>0.38461538461538464</v>
      </c>
      <c r="G45" s="219">
        <f t="shared" si="9"/>
        <v>0</v>
      </c>
      <c r="H45" s="220">
        <f t="shared" si="7"/>
        <v>0</v>
      </c>
      <c r="I45" s="219">
        <f>(($I$17-$I$16)/($D$17-$D$16)*(D45-$D$16)+$I$16)</f>
        <v>0</v>
      </c>
      <c r="J45" s="219">
        <f>IF(G45&lt;(($I$17-$I$16)/($D$17-$D$16)*(D45-$D$16)+$I$16),G45,(($I$17-$I$16)/($D$17-$D$16)*(D45-$D$16)+$I$16))</f>
        <v>0</v>
      </c>
      <c r="K45" s="221">
        <f t="shared" si="10"/>
        <v>0</v>
      </c>
      <c r="L45" s="220">
        <f t="shared" si="11"/>
        <v>0</v>
      </c>
      <c r="M45" s="221" t="e">
        <f>IF(('ErP Inputs'!$H$21)=(TRUE),IF(AND($D$20&lt;$D$17,$D$20&gt;D$16),IF($D$20=D45,COPPL_Tbiv,IF($D$20&gt;D45,((COPPL_Tbiv-COPPL_b)/($D$20-$D$16)*(D45-$D$20)+COPPL_Tbiv),((COPPL_c-COPPL_Tbiv)/($D$17-$D$20)*(D45-$D$17)+COPPL_c))),((COPPL_c-COPPL_b)/($D$17-$D$16)*(D45-$D$16)+COPPL_b)),((COPPL_c-COPPL_b)/($D$17-$D$16)*(D45-$D$16)+COPPL_b))</f>
        <v>#DIV/0!</v>
      </c>
      <c r="N45" s="220" t="e">
        <f t="shared" si="14"/>
        <v>#DIV/0!</v>
      </c>
      <c r="P45" s="220">
        <f t="shared" si="8"/>
        <v>0</v>
      </c>
      <c r="Q45" s="220" t="e">
        <f t="shared" si="15"/>
        <v>#DIV/0!</v>
      </c>
      <c r="R45" s="217" t="b">
        <f t="shared" si="13"/>
        <v>0</v>
      </c>
      <c r="S45" s="260" t="str">
        <f t="shared" si="12"/>
        <v>N/A</v>
      </c>
      <c r="T45" s="269"/>
    </row>
    <row r="46" spans="3:20" x14ac:dyDescent="0.25">
      <c r="C46" s="36">
        <v>38</v>
      </c>
      <c r="D46" s="36">
        <v>7</v>
      </c>
      <c r="E46" s="36">
        <f>HLOOKUP($D$3,'Table 37'!$B$3:$F$51,41,FALSE)</f>
        <v>326</v>
      </c>
      <c r="F46" s="219">
        <f t="shared" si="6"/>
        <v>0.34615384615384615</v>
      </c>
      <c r="G46" s="219">
        <f t="shared" si="9"/>
        <v>0</v>
      </c>
      <c r="H46" s="220">
        <f t="shared" si="7"/>
        <v>0</v>
      </c>
      <c r="I46" s="157">
        <f>I17</f>
        <v>0</v>
      </c>
      <c r="J46" s="157">
        <f>IF(G46&lt;I17,G46,I17)</f>
        <v>0</v>
      </c>
      <c r="K46" s="221">
        <f t="shared" si="10"/>
        <v>0</v>
      </c>
      <c r="L46" s="220">
        <f t="shared" si="11"/>
        <v>0</v>
      </c>
      <c r="M46" s="244" t="e">
        <f>COPPL_c</f>
        <v>#DIV/0!</v>
      </c>
      <c r="N46" s="220" t="e">
        <f t="shared" si="14"/>
        <v>#DIV/0!</v>
      </c>
      <c r="P46" s="220">
        <f t="shared" si="8"/>
        <v>0</v>
      </c>
      <c r="Q46" s="220" t="e">
        <f t="shared" si="15"/>
        <v>#DIV/0!</v>
      </c>
      <c r="R46" s="217" t="b">
        <f t="shared" si="13"/>
        <v>0</v>
      </c>
      <c r="S46" s="260" t="str">
        <f t="shared" si="12"/>
        <v>N/A</v>
      </c>
      <c r="T46" s="269"/>
    </row>
    <row r="47" spans="3:20" x14ac:dyDescent="0.25">
      <c r="C47" s="36">
        <v>39</v>
      </c>
      <c r="D47" s="36">
        <v>8</v>
      </c>
      <c r="E47" s="36">
        <f>HLOOKUP($D$3,'Table 37'!$B$3:$F$51,42,FALSE)</f>
        <v>348</v>
      </c>
      <c r="F47" s="219">
        <f t="shared" si="6"/>
        <v>0.30769230769230771</v>
      </c>
      <c r="G47" s="219">
        <f t="shared" si="9"/>
        <v>0</v>
      </c>
      <c r="H47" s="220">
        <f t="shared" si="7"/>
        <v>0</v>
      </c>
      <c r="I47" s="219">
        <f>(($I$18-$I$17)/($D$18-$D$17)*(D47-$D$17)+$I$17)</f>
        <v>0</v>
      </c>
      <c r="J47" s="219">
        <f>IF(G47&lt;(($I$18-$I$17)/($D$18-$D$17)*(D47-$D$17)+$I$17),G47,((($I$18-$I$17)/($D$18-$D$17)*(D47-$D$17)+$I$17)))</f>
        <v>0</v>
      </c>
      <c r="K47" s="221">
        <f t="shared" si="10"/>
        <v>0</v>
      </c>
      <c r="L47" s="220">
        <f t="shared" si="11"/>
        <v>0</v>
      </c>
      <c r="M47" s="221" t="e">
        <f>IF(('ErP Inputs'!$H$21)=(TRUE),IF(AND($D$20&lt;$D$18,$D$20&gt;D$17),IF($D$20=D47,COPPL_Tbiv,IF($D$20&gt;D47,((COPPL_Tbiv-COPPL_c)/($D$20-$D$17)*(D47-$D$20)+COPPL_Tbiv),((COPPL_d-COPPL_Tbiv)/($D$18-$D$20)*(D47-$D$18)+COPPL_d))),((COPPL_d-COPPL_c)/($D$18-$D$17)*(D47-$D$17)+COPPL_c)),((COPPL_d-COPPL_c)/($D$18-$D$17)*(D47-$D$17)+COPPL_c))</f>
        <v>#DIV/0!</v>
      </c>
      <c r="N47" s="220" t="e">
        <f t="shared" si="14"/>
        <v>#DIV/0!</v>
      </c>
      <c r="P47" s="220">
        <f t="shared" si="8"/>
        <v>0</v>
      </c>
      <c r="Q47" s="220" t="e">
        <f t="shared" si="15"/>
        <v>#DIV/0!</v>
      </c>
      <c r="R47" s="217" t="b">
        <f t="shared" si="13"/>
        <v>0</v>
      </c>
      <c r="S47" s="260" t="str">
        <f t="shared" si="12"/>
        <v>N/A</v>
      </c>
      <c r="T47" s="269"/>
    </row>
    <row r="48" spans="3:20" x14ac:dyDescent="0.25">
      <c r="C48" s="36">
        <v>40</v>
      </c>
      <c r="D48" s="36">
        <v>9</v>
      </c>
      <c r="E48" s="36">
        <f>HLOOKUP($D$3,'Table 37'!$B$3:$F$51,43,FALSE)</f>
        <v>335</v>
      </c>
      <c r="F48" s="219">
        <f t="shared" si="6"/>
        <v>0.26923076923076922</v>
      </c>
      <c r="G48" s="219">
        <f t="shared" si="9"/>
        <v>0</v>
      </c>
      <c r="H48" s="220">
        <f t="shared" si="7"/>
        <v>0</v>
      </c>
      <c r="I48" s="219">
        <f>(($I$18-$I$17)/($D$18-$D$17)*(D48-$D$17)+$I$17)</f>
        <v>0</v>
      </c>
      <c r="J48" s="219">
        <f>IF(G48&lt;(($I$18-$I$17)/($D$18-$D$17)*(D48-$D$17)+$I$17),G48,((($I$18-$I$17)/($D$18-$D$17)*(D48-$D$17)+$I$17)))</f>
        <v>0</v>
      </c>
      <c r="K48" s="221">
        <f t="shared" si="10"/>
        <v>0</v>
      </c>
      <c r="L48" s="220">
        <f t="shared" si="11"/>
        <v>0</v>
      </c>
      <c r="M48" s="221" t="e">
        <f>IF(('ErP Inputs'!$H$21)=(TRUE),IF(AND($D$20&lt;$D$18,$D$20&gt;D$17),IF($D$20=D48,COPPL_Tbiv,IF($D$20&gt;D48,((COPPL_Tbiv-COPPL_c)/($D$20-$D$17)*(D48-$D$20)+COPPL_Tbiv),((COPPL_d-COPPL_Tbiv)/($D$18-$D$20)*(D48-$D$18)+COPPL_d))),((COPPL_d-COPPL_c)/($D$18-$D$17)*(D48-$D$17)+COPPL_c)),((COPPL_d-COPPL_c)/($D$18-$D$17)*(D48-$D$17)+COPPL_c))</f>
        <v>#DIV/0!</v>
      </c>
      <c r="N48" s="220" t="e">
        <f t="shared" si="14"/>
        <v>#DIV/0!</v>
      </c>
      <c r="P48" s="220">
        <f t="shared" si="8"/>
        <v>0</v>
      </c>
      <c r="Q48" s="220" t="e">
        <f t="shared" si="15"/>
        <v>#DIV/0!</v>
      </c>
      <c r="R48" s="217" t="b">
        <f t="shared" si="13"/>
        <v>0</v>
      </c>
      <c r="S48" s="260" t="str">
        <f t="shared" si="12"/>
        <v>N/A</v>
      </c>
      <c r="T48" s="269"/>
    </row>
    <row r="49" spans="3:24" x14ac:dyDescent="0.25">
      <c r="C49" s="36">
        <v>41</v>
      </c>
      <c r="D49" s="36">
        <v>10</v>
      </c>
      <c r="E49" s="36">
        <f>HLOOKUP($D$3,'Table 37'!$B$3:$F$51,44,FALSE)</f>
        <v>315</v>
      </c>
      <c r="F49" s="219">
        <f t="shared" si="6"/>
        <v>0.23076923076923078</v>
      </c>
      <c r="G49" s="219">
        <f t="shared" si="9"/>
        <v>0</v>
      </c>
      <c r="H49" s="220">
        <f t="shared" si="7"/>
        <v>0</v>
      </c>
      <c r="I49" s="219">
        <f>(($I$18-$I$17)/($D$18-$D$17)*(D49-$D$17)+$I$17)</f>
        <v>0</v>
      </c>
      <c r="J49" s="219">
        <f>IF(G49&lt;(($I$18-$I$17)/($D$18-$D$17)*(D49-$D$17)+$I$17),G49,((($I$18-$I$17)/($D$18-$D$17)*(D49-$D$17)+$I$17)))</f>
        <v>0</v>
      </c>
      <c r="K49" s="221">
        <f t="shared" si="10"/>
        <v>0</v>
      </c>
      <c r="L49" s="220">
        <f t="shared" si="11"/>
        <v>0</v>
      </c>
      <c r="M49" s="221" t="e">
        <f>IF(('ErP Inputs'!$H$21)=(TRUE),IF(AND($D$20&lt;$D$18,$D$20&gt;D$17),IF($D$20=D49,COPPL_Tbiv,IF($D$20&gt;D49,((COPPL_Tbiv-COPPL_c)/($D$20-$D$17)*(D49-$D$20)+COPPL_Tbiv),((COPPL_d-COPPL_Tbiv)/($D$18-$D$20)*(D49-$D$18)+COPPL_d))),((COPPL_d-COPPL_c)/($D$18-$D$17)*(D49-$D$17)+COPPL_c)),((COPPL_d-COPPL_c)/($D$18-$D$17)*(D49-$D$17)+COPPL_c))</f>
        <v>#DIV/0!</v>
      </c>
      <c r="N49" s="220" t="e">
        <f t="shared" si="14"/>
        <v>#DIV/0!</v>
      </c>
      <c r="P49" s="220">
        <f t="shared" si="8"/>
        <v>0</v>
      </c>
      <c r="Q49" s="220" t="e">
        <f t="shared" si="15"/>
        <v>#DIV/0!</v>
      </c>
      <c r="R49" s="217" t="b">
        <f t="shared" si="13"/>
        <v>0</v>
      </c>
      <c r="S49" s="260" t="str">
        <f t="shared" si="12"/>
        <v>N/A</v>
      </c>
      <c r="T49" s="269"/>
    </row>
    <row r="50" spans="3:24" x14ac:dyDescent="0.25">
      <c r="C50" s="36">
        <v>42</v>
      </c>
      <c r="D50" s="36">
        <v>11</v>
      </c>
      <c r="E50" s="36">
        <f>HLOOKUP($D$3,'Table 37'!$B$3:$F$51,45,FALSE)</f>
        <v>215</v>
      </c>
      <c r="F50" s="219">
        <f t="shared" si="6"/>
        <v>0.19230769230769232</v>
      </c>
      <c r="G50" s="219">
        <f t="shared" si="9"/>
        <v>0</v>
      </c>
      <c r="H50" s="220">
        <f t="shared" si="7"/>
        <v>0</v>
      </c>
      <c r="I50" s="219">
        <f>(($I$18-$I$17)/($D$18-$D$17)*(D50-$D$17)+$I$17)</f>
        <v>0</v>
      </c>
      <c r="J50" s="219">
        <f>IF(G50&lt;(($I$18-$I$17)/($D$18-$D$17)*(D50-$D$17)+$I$17),G50,((($I$18-$I$17)/($D$18-$D$17)*(D50-$D$17)+$I$17)))</f>
        <v>0</v>
      </c>
      <c r="K50" s="221">
        <f t="shared" si="10"/>
        <v>0</v>
      </c>
      <c r="L50" s="220">
        <f t="shared" si="11"/>
        <v>0</v>
      </c>
      <c r="M50" s="221" t="e">
        <f>IF(('ErP Inputs'!$H$21)=(TRUE),IF(AND($D$20&lt;$D$18,$D$20&gt;D$17),IF($D$20=D50,COPPL_Tbiv,IF($D$20&gt;D50,((COPPL_Tbiv-COPPL_c)/($D$20-$D$17)*(D50-$D$20)+COPPL_Tbiv),((COPPL_d-COPPL_Tbiv)/($D$18-$D$20)*(D50-$D$18)+COPPL_d))),((COPPL_d-COPPL_c)/($D$18-$D$17)*(D50-$D$17)+COPPL_c)),((COPPL_d-COPPL_c)/($D$18-$D$17)*(D50-$D$17)+COPPL_c))</f>
        <v>#DIV/0!</v>
      </c>
      <c r="N50" s="220" t="e">
        <f t="shared" si="14"/>
        <v>#DIV/0!</v>
      </c>
      <c r="P50" s="220">
        <f t="shared" si="8"/>
        <v>0</v>
      </c>
      <c r="Q50" s="220" t="e">
        <f t="shared" si="15"/>
        <v>#DIV/0!</v>
      </c>
      <c r="R50" s="217" t="b">
        <f t="shared" si="13"/>
        <v>0</v>
      </c>
      <c r="S50" s="260" t="str">
        <f t="shared" si="12"/>
        <v>N/A</v>
      </c>
      <c r="T50" s="269"/>
    </row>
    <row r="51" spans="3:24" x14ac:dyDescent="0.25">
      <c r="C51" s="36">
        <v>43</v>
      </c>
      <c r="D51" s="36">
        <v>12</v>
      </c>
      <c r="E51" s="36">
        <f>HLOOKUP($D$3,'Table 37'!$B$3:$F$51,46,FALSE)</f>
        <v>169</v>
      </c>
      <c r="F51" s="219">
        <f t="shared" si="6"/>
        <v>0.15384615384615385</v>
      </c>
      <c r="G51" s="219">
        <f t="shared" si="9"/>
        <v>0</v>
      </c>
      <c r="H51" s="220">
        <f t="shared" si="7"/>
        <v>0</v>
      </c>
      <c r="I51" s="157">
        <f>I18</f>
        <v>0</v>
      </c>
      <c r="J51" s="157">
        <f>IF(G51&lt;I18,G51,I18)</f>
        <v>0</v>
      </c>
      <c r="K51" s="221">
        <f t="shared" si="10"/>
        <v>0</v>
      </c>
      <c r="L51" s="220">
        <f t="shared" si="11"/>
        <v>0</v>
      </c>
      <c r="M51" s="244" t="e">
        <f>COPPL_d</f>
        <v>#DIV/0!</v>
      </c>
      <c r="N51" s="220" t="e">
        <f t="shared" si="14"/>
        <v>#DIV/0!</v>
      </c>
      <c r="P51" s="220">
        <f t="shared" si="8"/>
        <v>0</v>
      </c>
      <c r="Q51" s="220" t="e">
        <f t="shared" si="15"/>
        <v>#DIV/0!</v>
      </c>
      <c r="R51" s="217" t="b">
        <f t="shared" si="13"/>
        <v>0</v>
      </c>
      <c r="S51" s="260" t="str">
        <f t="shared" si="12"/>
        <v>N/A</v>
      </c>
      <c r="T51" s="269"/>
    </row>
    <row r="52" spans="3:24" x14ac:dyDescent="0.25">
      <c r="C52" s="36">
        <v>44</v>
      </c>
      <c r="D52" s="36">
        <v>13</v>
      </c>
      <c r="E52" s="36">
        <f>HLOOKUP($D$3,'Table 37'!$B$3:$F$51,47,FALSE)</f>
        <v>151</v>
      </c>
      <c r="F52" s="219">
        <f t="shared" si="6"/>
        <v>0.11538461538461539</v>
      </c>
      <c r="G52" s="219">
        <f t="shared" si="9"/>
        <v>0</v>
      </c>
      <c r="H52" s="220">
        <f t="shared" si="7"/>
        <v>0</v>
      </c>
      <c r="I52" s="219">
        <f>(($I$18-$I$17)/($D$18-$D$17)*(D52-$D$17)+$I$17)</f>
        <v>0</v>
      </c>
      <c r="J52" s="219">
        <f>IF(G52&lt;(($I$18-$I$17)/($D$18-$D$17)*(D52-$D$17)+$I$17),G52,((($I$18-$I$17)/($D$18-$D$17)*(D52-$D$17)+$I$17)))</f>
        <v>0</v>
      </c>
      <c r="K52" s="221">
        <f t="shared" si="10"/>
        <v>0</v>
      </c>
      <c r="L52" s="220">
        <f t="shared" si="11"/>
        <v>0</v>
      </c>
      <c r="M52" s="221" t="e">
        <f>IF(('ErP Inputs'!$H$21)=(TRUE),IF(AND($D$20=$D$54,$D$20&gt;D$18),IF($D$20=D52,COPPL_Tbiv,IF($D$20&gt;D52,((COPPL_Tbiv-COPPL_d)/($D$20-$D$18)*(D52-$D$20)+COPPL_Tbiv),(($M$54-COPPL_Tbiv)/($D$54-$D$20)*(D52-$D$54)+$M$54))),((COPPL_d-COPPL_c)/($D$18-$D$17)*(D52-$D$17)+COPPL_c)),((COPPL_d-COPPL_c)/($D$18-$D$17)*(D52-$D$17)+COPPL_c))</f>
        <v>#DIV/0!</v>
      </c>
      <c r="N52" s="220" t="e">
        <f t="shared" si="14"/>
        <v>#DIV/0!</v>
      </c>
      <c r="P52" s="220">
        <f t="shared" si="8"/>
        <v>0</v>
      </c>
      <c r="Q52" s="220" t="e">
        <f t="shared" si="15"/>
        <v>#DIV/0!</v>
      </c>
      <c r="R52" s="217" t="b">
        <f t="shared" si="13"/>
        <v>0</v>
      </c>
      <c r="S52" s="260" t="str">
        <f t="shared" si="12"/>
        <v>N/A</v>
      </c>
      <c r="T52" s="269"/>
    </row>
    <row r="53" spans="3:24" x14ac:dyDescent="0.25">
      <c r="C53" s="36">
        <v>45</v>
      </c>
      <c r="D53" s="36">
        <v>14</v>
      </c>
      <c r="E53" s="36">
        <f>HLOOKUP($D$3,'Table 37'!$B$3:$F$51,48,FALSE)</f>
        <v>105</v>
      </c>
      <c r="F53" s="219">
        <f t="shared" si="6"/>
        <v>7.6923076923076927E-2</v>
      </c>
      <c r="G53" s="219">
        <f t="shared" si="9"/>
        <v>0</v>
      </c>
      <c r="H53" s="220">
        <f t="shared" si="7"/>
        <v>0</v>
      </c>
      <c r="I53" s="219">
        <f>(($I$18-$I$17)/($D$18-$D$17)*(D53-$D$17)+$I$17)</f>
        <v>0</v>
      </c>
      <c r="J53" s="219">
        <f>IF(G53&lt;(($I$18-$I$17)/($D$18-$D$17)*(D53-$D$17)+$I$17),G53,((($I$18-$I$17)/($D$18-$D$17)*(D53-$D$17)+$I$17)))</f>
        <v>0</v>
      </c>
      <c r="K53" s="221">
        <f t="shared" si="10"/>
        <v>0</v>
      </c>
      <c r="L53" s="220">
        <f t="shared" si="11"/>
        <v>0</v>
      </c>
      <c r="M53" s="221" t="e">
        <f>IF(('ErP Inputs'!$H$21)=(TRUE),IF(AND($D$20=$D$54,$D$20&gt;D$18),IF($D$20=D53,COPPL_Tbiv,IF($D$20&gt;D53,((COPPL_Tbiv-COPPL_d)/($D$20-$D$18)*(D53-$D$20)+COPPL_Tbiv),(($M$54-COPPL_Tbiv)/($D$54-$D$20)*(D53-$D$54)+$M$54))),((COPPL_d-COPPL_c)/($D$18-$D$17)*(D53-$D$17)+COPPL_c)),((COPPL_d-COPPL_c)/($D$18-$D$17)*(D53-$D$17)+COPPL_c))</f>
        <v>#DIV/0!</v>
      </c>
      <c r="N53" s="220" t="e">
        <f t="shared" si="14"/>
        <v>#DIV/0!</v>
      </c>
      <c r="P53" s="220">
        <f t="shared" si="8"/>
        <v>0</v>
      </c>
      <c r="Q53" s="220" t="e">
        <f t="shared" si="15"/>
        <v>#DIV/0!</v>
      </c>
      <c r="R53" s="217" t="b">
        <f t="shared" si="13"/>
        <v>0</v>
      </c>
      <c r="S53" s="260" t="str">
        <f t="shared" si="12"/>
        <v>N/A</v>
      </c>
      <c r="T53" s="269"/>
    </row>
    <row r="54" spans="3:24" x14ac:dyDescent="0.25">
      <c r="C54" s="36">
        <v>46</v>
      </c>
      <c r="D54" s="36">
        <v>15</v>
      </c>
      <c r="E54" s="36">
        <f>HLOOKUP($D$3,'Table 37'!$B$3:$F$51,49,FALSE)</f>
        <v>74</v>
      </c>
      <c r="F54" s="219">
        <f t="shared" si="6"/>
        <v>3.8461538461538464E-2</v>
      </c>
      <c r="G54" s="219">
        <f t="shared" si="9"/>
        <v>0</v>
      </c>
      <c r="H54" s="220">
        <f t="shared" si="7"/>
        <v>0</v>
      </c>
      <c r="I54" s="219">
        <f>(($I$18-$I$17)/($D$18-$D$17)*(D54-$D$17)+$I$17)</f>
        <v>0</v>
      </c>
      <c r="J54" s="219">
        <f>IF(G54&lt;(($I$18-$I$17)/($D$18-$D$17)*(D54-$D$17)+$I$17),G54,((($I$18-$I$17)/($D$18-$D$17)*(D54-$D$17)+$I$17)))</f>
        <v>0</v>
      </c>
      <c r="K54" s="221">
        <f t="shared" si="10"/>
        <v>0</v>
      </c>
      <c r="L54" s="220">
        <f t="shared" si="11"/>
        <v>0</v>
      </c>
      <c r="M54" s="221" t="e">
        <f>((COPPL_d-COPPL_c)/($D$18-$D$17)*(D54-$D$17)+COPPL_c)</f>
        <v>#DIV/0!</v>
      </c>
      <c r="N54" s="220" t="e">
        <f t="shared" si="14"/>
        <v>#DIV/0!</v>
      </c>
      <c r="P54" s="220">
        <f t="shared" si="8"/>
        <v>0</v>
      </c>
      <c r="Q54" s="220" t="e">
        <f t="shared" si="15"/>
        <v>#DIV/0!</v>
      </c>
      <c r="R54" s="217" t="b">
        <f t="shared" si="13"/>
        <v>0</v>
      </c>
      <c r="S54" s="260" t="str">
        <f t="shared" si="12"/>
        <v>N/A</v>
      </c>
      <c r="T54" s="269"/>
    </row>
    <row r="55" spans="3:24" ht="13.5" thickBot="1" x14ac:dyDescent="0.3">
      <c r="E55" s="36">
        <f>SUM(E29:E54)</f>
        <v>4910</v>
      </c>
      <c r="H55" s="220">
        <f>SUM(H29:H54)</f>
        <v>0</v>
      </c>
      <c r="L55" s="220" t="e">
        <f>SUM(L29:L54)</f>
        <v>#DIV/0!</v>
      </c>
      <c r="N55" s="261" t="e">
        <f>SUM(N29:N54)</f>
        <v>#DIV/0!</v>
      </c>
      <c r="P55" s="210">
        <f>SUM(P29:P54)</f>
        <v>0</v>
      </c>
      <c r="Q55" s="261" t="e">
        <f>SUM(Q29:Q54)</f>
        <v>#DIV/0!</v>
      </c>
    </row>
    <row r="56" spans="3:24" ht="15" thickBot="1" x14ac:dyDescent="0.3">
      <c r="M56" s="234" t="s">
        <v>194</v>
      </c>
      <c r="N56" s="231" t="str">
        <f>IF('ErP Inputs'!E8="Low Temperature Heat Pump","N/A",H55/N55)</f>
        <v>N/A</v>
      </c>
      <c r="P56" s="234" t="s">
        <v>195</v>
      </c>
      <c r="Q56" s="231" t="str">
        <f>IF('ErP Inputs'!E8="Low Temperature Heat Pump","N/A",P55/Q55)</f>
        <v>N/A</v>
      </c>
    </row>
    <row r="58" spans="3:24" x14ac:dyDescent="0.25">
      <c r="U58" s="158"/>
      <c r="V58" s="158"/>
      <c r="W58" s="158"/>
      <c r="X58" s="158"/>
    </row>
    <row r="70" spans="14:14" x14ac:dyDescent="0.25">
      <c r="N70" s="270"/>
    </row>
  </sheetData>
  <scenarios current="0" show="0">
    <scenario name="Maximum SCOP_Pdesignh" locked="1" count="1" user="John Davies" comment="Created by John Davies on 22/10/2014_x000a_Modified by John Davies on 22/10/2014">
      <inputCells r="D1" val="14.5"/>
    </scenario>
  </scenarios>
  <mergeCells count="7">
    <mergeCell ref="C23:N23"/>
    <mergeCell ref="D10:E10"/>
    <mergeCell ref="C2:E2"/>
    <mergeCell ref="C13:F13"/>
    <mergeCell ref="R6:R7"/>
    <mergeCell ref="C21:N21"/>
    <mergeCell ref="C22:N22"/>
  </mergeCells>
  <conditionalFormatting sqref="P15">
    <cfRule type="colorScale" priority="2">
      <colorScale>
        <cfvo type="min"/>
        <cfvo type="percentile" val="50"/>
        <cfvo type="max"/>
        <color rgb="FFF8696B"/>
        <color rgb="FFFFEB84"/>
        <color rgb="FF63BE7B"/>
      </colorScale>
    </cfRule>
  </conditionalFormatting>
  <conditionalFormatting sqref="P15:Q15">
    <cfRule type="colorScale" priority="3">
      <colorScale>
        <cfvo type="num" val="30"/>
        <cfvo type="num" val="80"/>
        <cfvo type="num" val="150"/>
        <color rgb="FFF8696B"/>
        <color rgb="FFFFEB84"/>
        <color rgb="FF63BE7B"/>
      </colorScale>
    </cfRule>
  </conditionalFormatting>
  <conditionalFormatting sqref="Q17">
    <cfRule type="colorScale" priority="1">
      <colorScale>
        <cfvo type="num" val="30"/>
        <cfvo type="percentile" val="60"/>
        <cfvo type="num" val="150"/>
        <color rgb="FFF8696B"/>
        <color rgb="FFFFEB84"/>
        <color rgb="FF63BE7B"/>
      </colorScale>
    </cfRule>
  </conditionalFormatting>
  <dataValidations count="1">
    <dataValidation type="list" allowBlank="1" showInputMessage="1" showErrorMessage="1" sqref="D11" xr:uid="{00000000-0002-0000-0600-000000000000}">
      <formula1>$H$8:$H$10</formula1>
    </dataValidation>
  </dataValidations>
  <printOptions headings="1"/>
  <pageMargins left="0.25" right="0.25" top="0.75" bottom="0.75" header="0.3" footer="0.3"/>
  <pageSetup paperSize="8" scale="25" orientation="landscape"/>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B2:F52"/>
  <sheetViews>
    <sheetView zoomScale="90" zoomScaleNormal="90" zoomScalePageLayoutView="90" workbookViewId="0">
      <selection activeCell="K17" sqref="K17"/>
    </sheetView>
  </sheetViews>
  <sheetFormatPr defaultColWidth="8.85546875" defaultRowHeight="15" x14ac:dyDescent="0.25"/>
  <cols>
    <col min="1" max="1" width="6.42578125" customWidth="1"/>
    <col min="4" max="4" width="11.85546875" bestFit="1" customWidth="1"/>
    <col min="5" max="5" width="11.42578125" bestFit="1" customWidth="1"/>
    <col min="6" max="6" width="9.85546875" bestFit="1" customWidth="1"/>
  </cols>
  <sheetData>
    <row r="2" spans="2:6" x14ac:dyDescent="0.25">
      <c r="B2" t="s">
        <v>8</v>
      </c>
    </row>
    <row r="3" spans="2:6" x14ac:dyDescent="0.25">
      <c r="B3" s="6"/>
      <c r="C3" s="6"/>
      <c r="D3" s="5" t="s">
        <v>11</v>
      </c>
      <c r="E3" s="5" t="s">
        <v>9</v>
      </c>
      <c r="F3" s="5" t="s">
        <v>10</v>
      </c>
    </row>
    <row r="4" spans="2:6" x14ac:dyDescent="0.25">
      <c r="B4" s="5" t="s">
        <v>0</v>
      </c>
      <c r="C4" s="5" t="s">
        <v>1</v>
      </c>
      <c r="D4" s="5" t="s">
        <v>3</v>
      </c>
      <c r="E4" s="5" t="s">
        <v>5</v>
      </c>
      <c r="F4" s="5" t="s">
        <v>6</v>
      </c>
    </row>
    <row r="5" spans="2:6" x14ac:dyDescent="0.25">
      <c r="B5" s="2"/>
      <c r="C5" s="4" t="s">
        <v>2</v>
      </c>
      <c r="D5" s="3" t="s">
        <v>4</v>
      </c>
      <c r="E5" s="3" t="s">
        <v>4</v>
      </c>
      <c r="F5" s="3" t="s">
        <v>4</v>
      </c>
    </row>
    <row r="6" spans="2:6" x14ac:dyDescent="0.25">
      <c r="B6" s="3">
        <v>1</v>
      </c>
      <c r="C6" s="3">
        <v>-30</v>
      </c>
      <c r="D6" s="3">
        <v>0</v>
      </c>
      <c r="E6" s="3">
        <v>0</v>
      </c>
      <c r="F6" s="3">
        <v>0</v>
      </c>
    </row>
    <row r="7" spans="2:6" x14ac:dyDescent="0.25">
      <c r="B7" s="3">
        <v>2</v>
      </c>
      <c r="C7" s="3">
        <v>-29</v>
      </c>
      <c r="D7" s="3">
        <v>0</v>
      </c>
      <c r="E7" s="3">
        <v>0</v>
      </c>
      <c r="F7" s="3">
        <v>0</v>
      </c>
    </row>
    <row r="8" spans="2:6" x14ac:dyDescent="0.25">
      <c r="B8" s="3">
        <v>3</v>
      </c>
      <c r="C8" s="3">
        <v>-28</v>
      </c>
      <c r="D8" s="3">
        <v>0</v>
      </c>
      <c r="E8" s="3">
        <v>0</v>
      </c>
      <c r="F8" s="3">
        <v>0</v>
      </c>
    </row>
    <row r="9" spans="2:6" x14ac:dyDescent="0.25">
      <c r="B9" s="3">
        <v>4</v>
      </c>
      <c r="C9" s="3">
        <v>-27</v>
      </c>
      <c r="D9" s="3">
        <v>0</v>
      </c>
      <c r="E9" s="3">
        <v>0</v>
      </c>
      <c r="F9" s="3">
        <v>0</v>
      </c>
    </row>
    <row r="10" spans="2:6" x14ac:dyDescent="0.25">
      <c r="B10" s="3">
        <v>5</v>
      </c>
      <c r="C10" s="3">
        <v>-26</v>
      </c>
      <c r="D10" s="3">
        <v>0</v>
      </c>
      <c r="E10" s="3">
        <v>0</v>
      </c>
      <c r="F10" s="3">
        <v>0</v>
      </c>
    </row>
    <row r="11" spans="2:6" x14ac:dyDescent="0.25">
      <c r="B11" s="3">
        <v>6</v>
      </c>
      <c r="C11" s="3">
        <v>-25</v>
      </c>
      <c r="D11" s="3">
        <v>0</v>
      </c>
      <c r="E11" s="3">
        <v>0</v>
      </c>
      <c r="F11" s="3">
        <v>0</v>
      </c>
    </row>
    <row r="12" spans="2:6" x14ac:dyDescent="0.25">
      <c r="B12" s="3">
        <v>7</v>
      </c>
      <c r="C12" s="3">
        <v>-24</v>
      </c>
      <c r="D12" s="3">
        <v>0</v>
      </c>
      <c r="E12" s="3">
        <v>0</v>
      </c>
      <c r="F12" s="3">
        <v>0</v>
      </c>
    </row>
    <row r="13" spans="2:6" x14ac:dyDescent="0.25">
      <c r="B13" s="3">
        <v>8</v>
      </c>
      <c r="C13" s="3">
        <v>-23</v>
      </c>
      <c r="D13" s="3">
        <v>0</v>
      </c>
      <c r="E13" s="3">
        <v>0</v>
      </c>
      <c r="F13" s="3">
        <v>0</v>
      </c>
    </row>
    <row r="14" spans="2:6" x14ac:dyDescent="0.25">
      <c r="B14" s="3">
        <v>9</v>
      </c>
      <c r="C14" s="3">
        <v>-22</v>
      </c>
      <c r="D14" s="3">
        <v>0</v>
      </c>
      <c r="E14" s="3">
        <v>0</v>
      </c>
      <c r="F14" s="3">
        <v>1</v>
      </c>
    </row>
    <row r="15" spans="2:6" x14ac:dyDescent="0.25">
      <c r="B15" s="3">
        <v>10</v>
      </c>
      <c r="C15" s="3">
        <v>-21</v>
      </c>
      <c r="D15" s="3">
        <v>0</v>
      </c>
      <c r="E15" s="3">
        <v>0</v>
      </c>
      <c r="F15" s="3">
        <v>6</v>
      </c>
    </row>
    <row r="16" spans="2:6" x14ac:dyDescent="0.25">
      <c r="B16" s="3">
        <v>11</v>
      </c>
      <c r="C16" s="3">
        <v>-20</v>
      </c>
      <c r="D16" s="3">
        <v>0</v>
      </c>
      <c r="E16" s="3">
        <v>0</v>
      </c>
      <c r="F16" s="3">
        <v>13</v>
      </c>
    </row>
    <row r="17" spans="2:6" x14ac:dyDescent="0.25">
      <c r="B17" s="3">
        <v>12</v>
      </c>
      <c r="C17" s="3">
        <v>-19</v>
      </c>
      <c r="D17" s="3">
        <v>0</v>
      </c>
      <c r="E17" s="3">
        <v>0</v>
      </c>
      <c r="F17" s="3">
        <v>17</v>
      </c>
    </row>
    <row r="18" spans="2:6" x14ac:dyDescent="0.25">
      <c r="B18" s="3">
        <v>13</v>
      </c>
      <c r="C18" s="3">
        <v>-18</v>
      </c>
      <c r="D18" s="3">
        <v>0</v>
      </c>
      <c r="E18" s="3">
        <v>0</v>
      </c>
      <c r="F18" s="3">
        <v>19</v>
      </c>
    </row>
    <row r="19" spans="2:6" x14ac:dyDescent="0.25">
      <c r="B19" s="3">
        <v>14</v>
      </c>
      <c r="C19" s="3">
        <v>-17</v>
      </c>
      <c r="D19" s="3">
        <v>0</v>
      </c>
      <c r="E19" s="3">
        <v>0</v>
      </c>
      <c r="F19" s="3">
        <v>26</v>
      </c>
    </row>
    <row r="20" spans="2:6" x14ac:dyDescent="0.25">
      <c r="B20" s="3">
        <v>15</v>
      </c>
      <c r="C20" s="3">
        <v>-16</v>
      </c>
      <c r="D20" s="3">
        <v>0</v>
      </c>
      <c r="E20" s="3">
        <v>0</v>
      </c>
      <c r="F20" s="3">
        <v>39</v>
      </c>
    </row>
    <row r="21" spans="2:6" x14ac:dyDescent="0.25">
      <c r="B21" s="3">
        <v>16</v>
      </c>
      <c r="C21" s="3">
        <v>-15</v>
      </c>
      <c r="D21" s="3">
        <v>0</v>
      </c>
      <c r="E21" s="3">
        <v>0</v>
      </c>
      <c r="F21" s="3">
        <v>41</v>
      </c>
    </row>
    <row r="22" spans="2:6" x14ac:dyDescent="0.25">
      <c r="B22" s="3">
        <v>17</v>
      </c>
      <c r="C22" s="3">
        <v>-14</v>
      </c>
      <c r="D22" s="3">
        <v>0</v>
      </c>
      <c r="E22" s="3">
        <v>0</v>
      </c>
      <c r="F22" s="3">
        <v>35</v>
      </c>
    </row>
    <row r="23" spans="2:6" x14ac:dyDescent="0.25">
      <c r="B23" s="3">
        <v>18</v>
      </c>
      <c r="C23" s="3">
        <v>-13</v>
      </c>
      <c r="D23" s="3">
        <v>0</v>
      </c>
      <c r="E23" s="3">
        <v>0</v>
      </c>
      <c r="F23" s="3">
        <v>52</v>
      </c>
    </row>
    <row r="24" spans="2:6" x14ac:dyDescent="0.25">
      <c r="B24" s="3">
        <v>19</v>
      </c>
      <c r="C24" s="3">
        <v>-12</v>
      </c>
      <c r="D24" s="3">
        <v>0</v>
      </c>
      <c r="E24" s="3">
        <v>0</v>
      </c>
      <c r="F24" s="3">
        <v>37</v>
      </c>
    </row>
    <row r="25" spans="2:6" x14ac:dyDescent="0.25">
      <c r="B25" s="3">
        <v>20</v>
      </c>
      <c r="C25" s="3">
        <v>-11</v>
      </c>
      <c r="D25" s="3">
        <v>0</v>
      </c>
      <c r="E25" s="3">
        <v>0</v>
      </c>
      <c r="F25" s="3">
        <v>41</v>
      </c>
    </row>
    <row r="26" spans="2:6" x14ac:dyDescent="0.25">
      <c r="B26" s="3">
        <v>21</v>
      </c>
      <c r="C26" s="3">
        <v>-10</v>
      </c>
      <c r="D26" s="3">
        <v>0</v>
      </c>
      <c r="E26" s="3">
        <v>1</v>
      </c>
      <c r="F26" s="3">
        <v>43</v>
      </c>
    </row>
    <row r="27" spans="2:6" x14ac:dyDescent="0.25">
      <c r="B27" s="3">
        <v>22</v>
      </c>
      <c r="C27" s="3">
        <v>-9</v>
      </c>
      <c r="D27" s="3">
        <v>0</v>
      </c>
      <c r="E27" s="3">
        <v>25</v>
      </c>
      <c r="F27" s="3">
        <v>54</v>
      </c>
    </row>
    <row r="28" spans="2:6" x14ac:dyDescent="0.25">
      <c r="B28" s="3">
        <v>23</v>
      </c>
      <c r="C28" s="3">
        <v>-8</v>
      </c>
      <c r="D28" s="3">
        <v>0</v>
      </c>
      <c r="E28" s="3">
        <v>23</v>
      </c>
      <c r="F28" s="3">
        <v>90</v>
      </c>
    </row>
    <row r="29" spans="2:6" x14ac:dyDescent="0.25">
      <c r="B29" s="3">
        <v>24</v>
      </c>
      <c r="C29" s="3">
        <v>-7</v>
      </c>
      <c r="D29" s="3">
        <v>0</v>
      </c>
      <c r="E29" s="3">
        <v>24</v>
      </c>
      <c r="F29" s="3">
        <v>125</v>
      </c>
    </row>
    <row r="30" spans="2:6" x14ac:dyDescent="0.25">
      <c r="B30" s="3">
        <v>25</v>
      </c>
      <c r="C30" s="3">
        <v>-6</v>
      </c>
      <c r="D30" s="3">
        <v>0</v>
      </c>
      <c r="E30" s="3">
        <v>27</v>
      </c>
      <c r="F30" s="3">
        <v>169</v>
      </c>
    </row>
    <row r="31" spans="2:6" x14ac:dyDescent="0.25">
      <c r="B31" s="3">
        <v>26</v>
      </c>
      <c r="C31" s="3">
        <v>-5</v>
      </c>
      <c r="D31" s="3">
        <v>0</v>
      </c>
      <c r="E31" s="3">
        <v>68</v>
      </c>
      <c r="F31" s="3">
        <v>195</v>
      </c>
    </row>
    <row r="32" spans="2:6" x14ac:dyDescent="0.25">
      <c r="B32" s="3">
        <v>27</v>
      </c>
      <c r="C32" s="3">
        <v>-4</v>
      </c>
      <c r="D32" s="3">
        <v>0</v>
      </c>
      <c r="E32" s="3">
        <v>91</v>
      </c>
      <c r="F32" s="3">
        <v>278</v>
      </c>
    </row>
    <row r="33" spans="2:6" x14ac:dyDescent="0.25">
      <c r="B33" s="3">
        <v>28</v>
      </c>
      <c r="C33" s="3">
        <v>-3</v>
      </c>
      <c r="D33" s="3">
        <v>0</v>
      </c>
      <c r="E33" s="3">
        <v>89</v>
      </c>
      <c r="F33" s="3">
        <v>306</v>
      </c>
    </row>
    <row r="34" spans="2:6" x14ac:dyDescent="0.25">
      <c r="B34" s="3">
        <v>29</v>
      </c>
      <c r="C34" s="3">
        <v>-2</v>
      </c>
      <c r="D34" s="3">
        <v>0</v>
      </c>
      <c r="E34" s="3">
        <v>165</v>
      </c>
      <c r="F34" s="3">
        <v>454</v>
      </c>
    </row>
    <row r="35" spans="2:6" x14ac:dyDescent="0.25">
      <c r="B35" s="3">
        <v>30</v>
      </c>
      <c r="C35" s="3">
        <v>-1</v>
      </c>
      <c r="D35" s="3">
        <v>0</v>
      </c>
      <c r="E35" s="3">
        <v>173</v>
      </c>
      <c r="F35" s="3">
        <v>385</v>
      </c>
    </row>
    <row r="36" spans="2:6" x14ac:dyDescent="0.25">
      <c r="B36" s="3">
        <v>31</v>
      </c>
      <c r="C36" s="3">
        <v>0</v>
      </c>
      <c r="D36" s="3">
        <v>0</v>
      </c>
      <c r="E36" s="3">
        <v>240</v>
      </c>
      <c r="F36" s="3">
        <v>490</v>
      </c>
    </row>
    <row r="37" spans="2:6" x14ac:dyDescent="0.25">
      <c r="B37" s="3">
        <v>32</v>
      </c>
      <c r="C37" s="3">
        <v>1</v>
      </c>
      <c r="D37" s="3">
        <v>0</v>
      </c>
      <c r="E37" s="3">
        <v>280</v>
      </c>
      <c r="F37" s="3">
        <v>533</v>
      </c>
    </row>
    <row r="38" spans="2:6" x14ac:dyDescent="0.25">
      <c r="B38" s="3">
        <v>33</v>
      </c>
      <c r="C38" s="3">
        <v>2</v>
      </c>
      <c r="D38" s="3">
        <v>3</v>
      </c>
      <c r="E38" s="3">
        <v>320</v>
      </c>
      <c r="F38" s="3">
        <v>380</v>
      </c>
    </row>
    <row r="39" spans="2:6" x14ac:dyDescent="0.25">
      <c r="B39" s="3">
        <v>34</v>
      </c>
      <c r="C39" s="3">
        <v>3</v>
      </c>
      <c r="D39" s="3">
        <v>22</v>
      </c>
      <c r="E39" s="3">
        <v>357</v>
      </c>
      <c r="F39" s="3">
        <v>228</v>
      </c>
    </row>
    <row r="40" spans="2:6" x14ac:dyDescent="0.25">
      <c r="B40" s="3">
        <v>35</v>
      </c>
      <c r="C40" s="3">
        <v>4</v>
      </c>
      <c r="D40" s="3">
        <v>63</v>
      </c>
      <c r="E40" s="3">
        <v>356</v>
      </c>
      <c r="F40" s="3">
        <v>261</v>
      </c>
    </row>
    <row r="41" spans="2:6" x14ac:dyDescent="0.25">
      <c r="B41" s="3">
        <v>36</v>
      </c>
      <c r="C41" s="3">
        <v>5</v>
      </c>
      <c r="D41" s="3">
        <v>63</v>
      </c>
      <c r="E41" s="3">
        <v>303</v>
      </c>
      <c r="F41" s="3">
        <v>279</v>
      </c>
    </row>
    <row r="42" spans="2:6" x14ac:dyDescent="0.25">
      <c r="B42" s="3">
        <v>37</v>
      </c>
      <c r="C42" s="3">
        <v>6</v>
      </c>
      <c r="D42" s="3">
        <v>175</v>
      </c>
      <c r="E42" s="3">
        <v>330</v>
      </c>
      <c r="F42" s="3">
        <v>229</v>
      </c>
    </row>
    <row r="43" spans="2:6" x14ac:dyDescent="0.25">
      <c r="B43" s="3">
        <v>38</v>
      </c>
      <c r="C43" s="3">
        <v>7</v>
      </c>
      <c r="D43" s="3">
        <v>162</v>
      </c>
      <c r="E43" s="3">
        <v>326</v>
      </c>
      <c r="F43" s="3">
        <v>269</v>
      </c>
    </row>
    <row r="44" spans="2:6" x14ac:dyDescent="0.25">
      <c r="B44" s="3">
        <v>39</v>
      </c>
      <c r="C44" s="3">
        <v>8</v>
      </c>
      <c r="D44" s="3">
        <v>259</v>
      </c>
      <c r="E44" s="3">
        <v>348</v>
      </c>
      <c r="F44" s="3">
        <v>233</v>
      </c>
    </row>
    <row r="45" spans="2:6" x14ac:dyDescent="0.25">
      <c r="B45" s="3">
        <v>40</v>
      </c>
      <c r="C45" s="3">
        <v>9</v>
      </c>
      <c r="D45" s="3">
        <v>360</v>
      </c>
      <c r="E45" s="3">
        <v>335</v>
      </c>
      <c r="F45" s="3">
        <v>230</v>
      </c>
    </row>
    <row r="46" spans="2:6" x14ac:dyDescent="0.25">
      <c r="B46" s="3">
        <v>41</v>
      </c>
      <c r="C46" s="3">
        <v>10</v>
      </c>
      <c r="D46" s="3">
        <v>428</v>
      </c>
      <c r="E46" s="3">
        <v>315</v>
      </c>
      <c r="F46" s="3">
        <v>243</v>
      </c>
    </row>
    <row r="47" spans="2:6" x14ac:dyDescent="0.25">
      <c r="B47" s="3">
        <v>42</v>
      </c>
      <c r="C47" s="3">
        <v>11</v>
      </c>
      <c r="D47" s="3">
        <v>430</v>
      </c>
      <c r="E47" s="3">
        <v>215</v>
      </c>
      <c r="F47" s="3">
        <v>191</v>
      </c>
    </row>
    <row r="48" spans="2:6" x14ac:dyDescent="0.25">
      <c r="B48" s="3">
        <v>43</v>
      </c>
      <c r="C48" s="3">
        <v>12</v>
      </c>
      <c r="D48" s="3">
        <v>503</v>
      </c>
      <c r="E48" s="3">
        <v>169</v>
      </c>
      <c r="F48" s="3">
        <v>146</v>
      </c>
    </row>
    <row r="49" spans="2:6" x14ac:dyDescent="0.25">
      <c r="B49" s="3">
        <v>44</v>
      </c>
      <c r="C49" s="3">
        <v>13</v>
      </c>
      <c r="D49" s="3">
        <v>444</v>
      </c>
      <c r="E49" s="3">
        <v>151</v>
      </c>
      <c r="F49" s="3">
        <v>150</v>
      </c>
    </row>
    <row r="50" spans="2:6" x14ac:dyDescent="0.25">
      <c r="B50" s="3">
        <v>45</v>
      </c>
      <c r="C50" s="3">
        <v>14</v>
      </c>
      <c r="D50" s="3">
        <v>384</v>
      </c>
      <c r="E50" s="3">
        <v>105</v>
      </c>
      <c r="F50" s="3">
        <v>97</v>
      </c>
    </row>
    <row r="51" spans="2:6" x14ac:dyDescent="0.25">
      <c r="B51" s="3">
        <v>46</v>
      </c>
      <c r="C51" s="3">
        <v>15</v>
      </c>
      <c r="D51" s="3">
        <v>294</v>
      </c>
      <c r="E51" s="3">
        <v>74</v>
      </c>
      <c r="F51" s="3">
        <v>61</v>
      </c>
    </row>
    <row r="52" spans="2:6" x14ac:dyDescent="0.25">
      <c r="C52" t="s">
        <v>7</v>
      </c>
      <c r="D52" s="1">
        <f>SUM(D6:D51)</f>
        <v>3590</v>
      </c>
      <c r="E52" s="1">
        <f>SUM(E6:E51)</f>
        <v>4910</v>
      </c>
      <c r="F52" s="1">
        <f>SUM(F6:F51)</f>
        <v>6446</v>
      </c>
    </row>
  </sheetData>
  <sheetProtection algorithmName="SHA-512" hashValue="MVs2dq86u5UYdKA77sMlr9TEilMxoMRSj7oC+YxdruhVyogiUMc23iKRsM+gDRWC58/WneWWObDCOMhgaXP51Q==" saltValue="FWEscW8T/wxOU8BotayWTQ==" spinCount="100000" sheet="1" objects="1" scenarios="1" selectLockedCells="1" selectUnlockedCells="1"/>
  <pageMargins left="0.25" right="0.25" top="0.75" bottom="0.75" header="0.3" footer="0.3"/>
  <pageSetup paperSize="9" scale="97"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608DE-1AC8-4133-8CA0-ED571C4D91DD}">
  <sheetPr codeName="Sheet1"/>
  <dimension ref="B1:D11"/>
  <sheetViews>
    <sheetView showGridLines="0" zoomScaleNormal="100" workbookViewId="0">
      <selection activeCell="D30" sqref="D30"/>
    </sheetView>
  </sheetViews>
  <sheetFormatPr defaultRowHeight="12.75" x14ac:dyDescent="0.2"/>
  <cols>
    <col min="1" max="1" width="2.85546875" style="26" customWidth="1"/>
    <col min="2" max="2" width="19.7109375" style="32" customWidth="1"/>
    <col min="3" max="3" width="27.28515625" style="32" customWidth="1"/>
    <col min="4" max="4" width="100.28515625" style="33" customWidth="1"/>
    <col min="5" max="16384" width="9.140625" style="26"/>
  </cols>
  <sheetData>
    <row r="1" spans="2:4" ht="15" customHeight="1" x14ac:dyDescent="0.2"/>
    <row r="2" spans="2:4" ht="21" customHeight="1" x14ac:dyDescent="0.2">
      <c r="B2" s="25" t="s">
        <v>140</v>
      </c>
      <c r="C2" s="25"/>
      <c r="D2" s="25"/>
    </row>
    <row r="4" spans="2:4" x14ac:dyDescent="0.2">
      <c r="B4" s="27" t="s">
        <v>116</v>
      </c>
      <c r="C4" s="27" t="s">
        <v>141</v>
      </c>
      <c r="D4" s="28" t="s">
        <v>117</v>
      </c>
    </row>
    <row r="5" spans="2:4" x14ac:dyDescent="0.2">
      <c r="B5" s="29">
        <v>42125</v>
      </c>
      <c r="C5" s="30">
        <v>1</v>
      </c>
      <c r="D5" s="31" t="s">
        <v>144</v>
      </c>
    </row>
    <row r="6" spans="2:4" ht="25.5" x14ac:dyDescent="0.2">
      <c r="B6" s="29">
        <v>44686</v>
      </c>
      <c r="C6" s="30" t="s">
        <v>132</v>
      </c>
      <c r="D6" s="31" t="s">
        <v>142</v>
      </c>
    </row>
    <row r="7" spans="2:4" ht="25.5" x14ac:dyDescent="0.2">
      <c r="B7" s="29">
        <v>44734</v>
      </c>
      <c r="C7" s="30" t="s">
        <v>132</v>
      </c>
      <c r="D7" s="31" t="s">
        <v>143</v>
      </c>
    </row>
    <row r="8" spans="2:4" ht="25.5" x14ac:dyDescent="0.2">
      <c r="B8" s="29">
        <v>45533</v>
      </c>
      <c r="C8" s="30" t="s">
        <v>132</v>
      </c>
      <c r="D8" s="31" t="s">
        <v>135</v>
      </c>
    </row>
    <row r="9" spans="2:4" x14ac:dyDescent="0.2">
      <c r="B9" s="29">
        <v>45608</v>
      </c>
      <c r="C9" s="30" t="s">
        <v>132</v>
      </c>
      <c r="D9" s="31" t="s">
        <v>145</v>
      </c>
    </row>
    <row r="10" spans="2:4" x14ac:dyDescent="0.2">
      <c r="B10" s="29">
        <v>45643</v>
      </c>
      <c r="C10" s="34" t="s">
        <v>132</v>
      </c>
      <c r="D10" s="35" t="s">
        <v>138</v>
      </c>
    </row>
    <row r="11" spans="2:4" x14ac:dyDescent="0.2">
      <c r="B11" s="29">
        <v>45660</v>
      </c>
      <c r="C11" s="34" t="s">
        <v>132</v>
      </c>
      <c r="D11" s="35" t="s">
        <v>137</v>
      </c>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B26"/>
  <sheetViews>
    <sheetView showGridLines="0" workbookViewId="0">
      <selection activeCell="B33" sqref="B33"/>
    </sheetView>
  </sheetViews>
  <sheetFormatPr defaultColWidth="9.140625" defaultRowHeight="12.75" x14ac:dyDescent="0.2"/>
  <cols>
    <col min="1" max="1" width="2.85546875" style="271" customWidth="1"/>
    <col min="2" max="2" width="135.28515625" style="271" bestFit="1" customWidth="1"/>
    <col min="3" max="16384" width="9.140625" style="271"/>
  </cols>
  <sheetData>
    <row r="1" spans="2:2" ht="15" customHeight="1" x14ac:dyDescent="0.2"/>
    <row r="2" spans="2:2" x14ac:dyDescent="0.2">
      <c r="B2" s="273" t="s">
        <v>81</v>
      </c>
    </row>
    <row r="3" spans="2:2" x14ac:dyDescent="0.2">
      <c r="B3" s="272" t="s">
        <v>82</v>
      </c>
    </row>
    <row r="4" spans="2:2" x14ac:dyDescent="0.2">
      <c r="B4" s="272" t="s">
        <v>84</v>
      </c>
    </row>
    <row r="5" spans="2:2" x14ac:dyDescent="0.2">
      <c r="B5" s="272" t="s">
        <v>83</v>
      </c>
    </row>
    <row r="6" spans="2:2" x14ac:dyDescent="0.2">
      <c r="B6" s="272" t="s">
        <v>85</v>
      </c>
    </row>
    <row r="7" spans="2:2" x14ac:dyDescent="0.2">
      <c r="B7" s="272" t="s">
        <v>86</v>
      </c>
    </row>
    <row r="8" spans="2:2" x14ac:dyDescent="0.2">
      <c r="B8" s="272" t="s">
        <v>91</v>
      </c>
    </row>
    <row r="9" spans="2:2" x14ac:dyDescent="0.2">
      <c r="B9" s="272" t="s">
        <v>209</v>
      </c>
    </row>
    <row r="10" spans="2:2" x14ac:dyDescent="0.2">
      <c r="B10" s="272" t="s">
        <v>94</v>
      </c>
    </row>
    <row r="11" spans="2:2" ht="14.25" x14ac:dyDescent="0.2">
      <c r="B11" s="272" t="s">
        <v>210</v>
      </c>
    </row>
    <row r="12" spans="2:2" x14ac:dyDescent="0.2">
      <c r="B12" s="272" t="s">
        <v>99</v>
      </c>
    </row>
    <row r="13" spans="2:2" ht="15.75" x14ac:dyDescent="0.3">
      <c r="B13" s="272" t="s">
        <v>211</v>
      </c>
    </row>
    <row r="14" spans="2:2" ht="14.25" x14ac:dyDescent="0.2">
      <c r="B14" s="272" t="s">
        <v>212</v>
      </c>
    </row>
    <row r="15" spans="2:2" x14ac:dyDescent="0.2">
      <c r="B15" s="272" t="s">
        <v>100</v>
      </c>
    </row>
    <row r="16" spans="2:2" x14ac:dyDescent="0.2">
      <c r="B16" s="272" t="s">
        <v>102</v>
      </c>
    </row>
    <row r="17" spans="2:2" x14ac:dyDescent="0.2">
      <c r="B17" s="272" t="s">
        <v>103</v>
      </c>
    </row>
    <row r="18" spans="2:2" x14ac:dyDescent="0.2">
      <c r="B18" s="272" t="s">
        <v>107</v>
      </c>
    </row>
    <row r="19" spans="2:2" x14ac:dyDescent="0.2">
      <c r="B19" s="272" t="s">
        <v>108</v>
      </c>
    </row>
    <row r="20" spans="2:2" x14ac:dyDescent="0.2">
      <c r="B20" s="272" t="s">
        <v>109</v>
      </c>
    </row>
    <row r="21" spans="2:2" x14ac:dyDescent="0.2">
      <c r="B21" s="272" t="s">
        <v>110</v>
      </c>
    </row>
    <row r="22" spans="2:2" x14ac:dyDescent="0.2">
      <c r="B22" s="272" t="s">
        <v>111</v>
      </c>
    </row>
    <row r="23" spans="2:2" x14ac:dyDescent="0.2">
      <c r="B23" s="272" t="s">
        <v>112</v>
      </c>
    </row>
    <row r="24" spans="2:2" x14ac:dyDescent="0.2">
      <c r="B24" s="272" t="s">
        <v>113</v>
      </c>
    </row>
    <row r="25" spans="2:2" x14ac:dyDescent="0.2">
      <c r="B25" s="272" t="s">
        <v>114</v>
      </c>
    </row>
    <row r="26" spans="2:2" x14ac:dyDescent="0.2">
      <c r="B26" s="272" t="s">
        <v>115</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C80033703C9B4289FA36CFBE52A624" ma:contentTypeVersion="8" ma:contentTypeDescription="Create a new document." ma:contentTypeScope="" ma:versionID="bcf06acc06d5312f794f3e9908b356ae">
  <xsd:schema xmlns:xsd="http://www.w3.org/2001/XMLSchema" xmlns:xs="http://www.w3.org/2001/XMLSchema" xmlns:p="http://schemas.microsoft.com/office/2006/metadata/properties" xmlns:ns2="10c873d5-23b6-4984-859e-b50939a50bbb" xmlns:ns3="1204e082-ddfc-4eaf-903e-5230b18e2dc9" targetNamespace="http://schemas.microsoft.com/office/2006/metadata/properties" ma:root="true" ma:fieldsID="fa828e143b5c18bc01cbafb2ab7979d0" ns2:_="" ns3:_="">
    <xsd:import namespace="10c873d5-23b6-4984-859e-b50939a50bbb"/>
    <xsd:import namespace="1204e082-ddfc-4eaf-903e-5230b18e2d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c873d5-23b6-4984-859e-b50939a50b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04e082-ddfc-4eaf-903e-5230b18e2dc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0811E1-873C-40B2-9E88-DD6A9DCBEA1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41450B9-F01D-40EF-9AEF-62A608C0C946}">
  <ds:schemaRefs>
    <ds:schemaRef ds:uri="http://schemas.microsoft.com/sharepoint/v3/contenttype/forms"/>
  </ds:schemaRefs>
</ds:datastoreItem>
</file>

<file path=customXml/itemProps3.xml><?xml version="1.0" encoding="utf-8"?>
<ds:datastoreItem xmlns:ds="http://schemas.openxmlformats.org/officeDocument/2006/customXml" ds:itemID="{B4AC3489-B5A2-4ECA-B906-A7BC76553F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c873d5-23b6-4984-859e-b50939a50bbb"/>
    <ds:schemaRef ds:uri="1204e082-ddfc-4eaf-903e-5230b18e2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28</vt:i4>
      </vt:variant>
    </vt:vector>
  </HeadingPairs>
  <TitlesOfParts>
    <vt:vector size="37" baseType="lpstr">
      <vt:lpstr>Notes &amp; Usage</vt:lpstr>
      <vt:lpstr>ErP Inputs</vt:lpstr>
      <vt:lpstr>Low SCOP</vt:lpstr>
      <vt:lpstr>Intermediate SCOP</vt:lpstr>
      <vt:lpstr>Medium SCOP</vt:lpstr>
      <vt:lpstr>High SCOP</vt:lpstr>
      <vt:lpstr>Table 37</vt:lpstr>
      <vt:lpstr>Version control</vt:lpstr>
      <vt:lpstr>Changes</vt:lpstr>
      <vt:lpstr>'High SCOP'!COPPL_a</vt:lpstr>
      <vt:lpstr>'Intermediate SCOP'!COPPL_a</vt:lpstr>
      <vt:lpstr>'Low SCOP'!COPPL_a</vt:lpstr>
      <vt:lpstr>'Medium SCOP'!COPPL_a</vt:lpstr>
      <vt:lpstr>'High SCOP'!COPPL_b</vt:lpstr>
      <vt:lpstr>'Intermediate SCOP'!COPPL_b</vt:lpstr>
      <vt:lpstr>'Low SCOP'!COPPL_b</vt:lpstr>
      <vt:lpstr>'Medium SCOP'!COPPL_b</vt:lpstr>
      <vt:lpstr>'High SCOP'!COPPL_c</vt:lpstr>
      <vt:lpstr>'Intermediate SCOP'!COPPL_c</vt:lpstr>
      <vt:lpstr>'Low SCOP'!COPPL_c</vt:lpstr>
      <vt:lpstr>'Medium SCOP'!COPPL_c</vt:lpstr>
      <vt:lpstr>'High SCOP'!COPPL_d</vt:lpstr>
      <vt:lpstr>'Intermediate SCOP'!COPPL_d</vt:lpstr>
      <vt:lpstr>'Low SCOP'!COPPL_d</vt:lpstr>
      <vt:lpstr>'Medium SCOP'!COPPL_d</vt:lpstr>
      <vt:lpstr>'High SCOP'!COPPL_Tbiv</vt:lpstr>
      <vt:lpstr>'Intermediate SCOP'!COPPL_Tbiv</vt:lpstr>
      <vt:lpstr>'Low SCOP'!COPPL_Tbiv</vt:lpstr>
      <vt:lpstr>'Medium SCOP'!COPPL_Tbiv</vt:lpstr>
      <vt:lpstr>'High SCOP'!COPPL_TOL</vt:lpstr>
      <vt:lpstr>'Intermediate SCOP'!COPPL_TOL</vt:lpstr>
      <vt:lpstr>'Low SCOP'!COPPL_TOL</vt:lpstr>
      <vt:lpstr>'Medium SCOP'!COPPL_TOL</vt:lpstr>
      <vt:lpstr>'High SCOP'!Tdesignh</vt:lpstr>
      <vt:lpstr>'Intermediate SCOP'!Tdesignh</vt:lpstr>
      <vt:lpstr>'Low SCOP'!Tdesignh</vt:lpstr>
      <vt:lpstr>'Medium SCOP'!Tdesignh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MCS SCOP Calculator</dc:title>
  <dc:subject/>
  <dc:creator>John Davies</dc:creator>
  <cp:keywords/>
  <dc:description/>
  <cp:lastModifiedBy>Adam Padilla</cp:lastModifiedBy>
  <cp:lastPrinted>2025-01-07T16:36:11Z</cp:lastPrinted>
  <dcterms:created xsi:type="dcterms:W3CDTF">2012-11-29T10:15:26Z</dcterms:created>
  <dcterms:modified xsi:type="dcterms:W3CDTF">2025-03-21T14:25:49Z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0x01010059C80033703C9B4289FA36CFBE52A624</vt:lpwstr>
  </property>
</Properties>
</file>