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cssco.sharepoint.com/Shared Documents/26 Standards and Secretariat/1- Jade Crosbie/Standards/Product Scheme/"/>
    </mc:Choice>
  </mc:AlternateContent>
  <xr:revisionPtr revIDLastSave="0" documentId="8_{9E7875AC-74C3-4728-8A19-ADA5A1988ADB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Changes" sheetId="17" state="hidden" r:id="rId1"/>
    <sheet name="Scope" sheetId="19" r:id="rId2"/>
    <sheet name="ErP Inputs" sheetId="14" r:id="rId3"/>
    <sheet name="LOW SCOP" sheetId="6" r:id="rId4"/>
    <sheet name="MEDIUM SCOP" sheetId="18" r:id="rId5"/>
    <sheet name="HIGH SCOP" sheetId="16" r:id="rId6"/>
    <sheet name="VERY HIGH SCOP" sheetId="15" r:id="rId7"/>
    <sheet name="Table 37" sheetId="1" r:id="rId8"/>
    <sheet name="Version Control" sheetId="20" r:id="rId9"/>
  </sheets>
  <externalReferences>
    <externalReference r:id="rId10"/>
  </externalReferences>
  <definedNames>
    <definedName name="COPPL_a" localSheetId="5">'HIGH SCOP'!$N$20</definedName>
    <definedName name="COPPL_a" localSheetId="3">'LOW SCOP'!$N$20</definedName>
    <definedName name="COPPL_a" localSheetId="4">'MEDIUM SCOP'!$N$20</definedName>
    <definedName name="COPPL_a" localSheetId="6">'VERY HIGH SCOP'!$N$20</definedName>
    <definedName name="COPPL_b" localSheetId="5">'HIGH SCOP'!$N$21</definedName>
    <definedName name="COPPL_b" localSheetId="3">'LOW SCOP'!$N$21</definedName>
    <definedName name="COPPL_b" localSheetId="4">'MEDIUM SCOP'!$N$21</definedName>
    <definedName name="COPPL_b" localSheetId="6">'VERY HIGH SCOP'!$N$21</definedName>
    <definedName name="COPPL_c" localSheetId="5">'HIGH SCOP'!$N$22</definedName>
    <definedName name="COPPL_c" localSheetId="3">'LOW SCOP'!$N$22</definedName>
    <definedName name="COPPL_c" localSheetId="4">'MEDIUM SCOP'!$N$22</definedName>
    <definedName name="COPPL_c" localSheetId="6">'VERY HIGH SCOP'!$N$22</definedName>
    <definedName name="COPPL_d" localSheetId="5">'HIGH SCOP'!$N$23</definedName>
    <definedName name="COPPL_d" localSheetId="3">'LOW SCOP'!$N$23</definedName>
    <definedName name="COPPL_d" localSheetId="4">'MEDIUM SCOP'!$N$23</definedName>
    <definedName name="COPPL_d" localSheetId="6">'VERY HIGH SCOP'!$N$23</definedName>
    <definedName name="COPPL_Tbiv" localSheetId="5">'HIGH SCOP'!$N$25</definedName>
    <definedName name="COPPL_Tbiv" localSheetId="3">'LOW SCOP'!$M$25</definedName>
    <definedName name="COPPL_Tbiv" localSheetId="4">'MEDIUM SCOP'!$N$25</definedName>
    <definedName name="COPPL_Tbiv" localSheetId="6">'VERY HIGH SCOP'!$N$25</definedName>
    <definedName name="COPPL_TOL" localSheetId="5">'HIGH SCOP'!$N$24</definedName>
    <definedName name="COPPL_TOL" localSheetId="3">'LOW SCOP'!$N$24</definedName>
    <definedName name="COPPL_TOL" localSheetId="4">'MEDIUM SCOP'!$N$24</definedName>
    <definedName name="COPPL_TOL" localSheetId="6">'VERY HIGH SCOP'!$N$24</definedName>
    <definedName name="QH_gen_out">'[1]Climate Data'!$D$14</definedName>
    <definedName name="QW_gen_out">'[1]Climate Data'!$D$15</definedName>
    <definedName name="Tdesignh" localSheetId="5">'HIGH SCOP'!$D$6</definedName>
    <definedName name="Tdesignh" localSheetId="3">'LOW SCOP'!$D$6</definedName>
    <definedName name="Tdesignh" localSheetId="4">'MEDIUM SCOP'!$D$6</definedName>
    <definedName name="Tdesignh" localSheetId="6">'VERY HIGH SCOP'!$D$6</definedName>
    <definedName name="θe_design">'[1]Climate Data'!$E$19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4" l="1"/>
  <c r="D24" i="15"/>
  <c r="D24" i="16"/>
  <c r="D24" i="18"/>
  <c r="D24" i="6"/>
  <c r="D7" i="18" l="1"/>
  <c r="K24" i="18" l="1"/>
  <c r="K23" i="18"/>
  <c r="K22" i="18"/>
  <c r="K21" i="18"/>
  <c r="K20" i="18"/>
  <c r="I23" i="18"/>
  <c r="I22" i="18"/>
  <c r="I21" i="18"/>
  <c r="E24" i="15" l="1"/>
  <c r="E24" i="6"/>
  <c r="E24" i="18"/>
  <c r="E24" i="16" l="1"/>
  <c r="G24" i="6" l="1"/>
  <c r="K22" i="15" l="1"/>
  <c r="K21" i="15"/>
  <c r="K20" i="15"/>
  <c r="K24" i="15"/>
  <c r="K23" i="15"/>
  <c r="M41" i="14" l="1"/>
  <c r="M27" i="14"/>
  <c r="M23" i="14"/>
  <c r="M19" i="14"/>
  <c r="K41" i="14"/>
  <c r="K27" i="14"/>
  <c r="K23" i="14"/>
  <c r="K19" i="14"/>
  <c r="I41" i="14"/>
  <c r="I27" i="14"/>
  <c r="I23" i="14"/>
  <c r="I19" i="14"/>
  <c r="G41" i="14"/>
  <c r="G27" i="14"/>
  <c r="G23" i="14"/>
  <c r="G19" i="14"/>
  <c r="F32" i="15" l="1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31" i="15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31" i="16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31" i="18"/>
  <c r="F56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31" i="6"/>
  <c r="E23" i="15" l="1"/>
  <c r="E22" i="15"/>
  <c r="E21" i="15"/>
  <c r="E20" i="15"/>
  <c r="F19" i="15"/>
  <c r="E19" i="15"/>
  <c r="E23" i="16"/>
  <c r="E22" i="16"/>
  <c r="E21" i="16"/>
  <c r="E20" i="16"/>
  <c r="F19" i="16"/>
  <c r="E19" i="16"/>
  <c r="E23" i="18"/>
  <c r="E22" i="18"/>
  <c r="E21" i="18"/>
  <c r="E20" i="18"/>
  <c r="F19" i="18"/>
  <c r="E19" i="18"/>
  <c r="E19" i="6"/>
  <c r="E23" i="6"/>
  <c r="E22" i="6"/>
  <c r="E21" i="6"/>
  <c r="E20" i="6"/>
  <c r="F19" i="6"/>
  <c r="D8" i="14" l="1"/>
  <c r="E41" i="14"/>
  <c r="F41" i="14"/>
  <c r="F20" i="18" s="1"/>
  <c r="H41" i="14"/>
  <c r="F21" i="18" s="1"/>
  <c r="J41" i="14"/>
  <c r="F22" i="18" s="1"/>
  <c r="L41" i="14"/>
  <c r="F23" i="18" s="1"/>
  <c r="N41" i="14"/>
  <c r="F24" i="18" s="1"/>
  <c r="J27" i="14"/>
  <c r="F22" i="15" s="1"/>
  <c r="E27" i="14"/>
  <c r="E23" i="14"/>
  <c r="E19" i="14"/>
  <c r="D9" i="14"/>
  <c r="D7" i="15" l="1"/>
  <c r="D7" i="16"/>
  <c r="D7" i="6" l="1"/>
  <c r="Q7" i="15" l="1"/>
  <c r="Q6" i="15"/>
  <c r="Q5" i="15"/>
  <c r="Q7" i="16"/>
  <c r="Q6" i="16"/>
  <c r="Q5" i="16"/>
  <c r="Q7" i="18"/>
  <c r="Q6" i="18"/>
  <c r="Q5" i="18"/>
  <c r="Q6" i="6"/>
  <c r="Q5" i="6"/>
  <c r="Q7" i="6"/>
  <c r="I20" i="18" l="1"/>
  <c r="I24" i="18"/>
  <c r="I32" i="18" l="1"/>
  <c r="I33" i="18"/>
  <c r="I31" i="18"/>
  <c r="G24" i="18"/>
  <c r="H24" i="18" s="1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G23" i="18"/>
  <c r="H23" i="18" s="1"/>
  <c r="G22" i="18"/>
  <c r="H22" i="18" s="1"/>
  <c r="G21" i="18"/>
  <c r="H21" i="18" s="1"/>
  <c r="G20" i="18"/>
  <c r="H20" i="18" s="1"/>
  <c r="F14" i="18"/>
  <c r="C12" i="18"/>
  <c r="C11" i="18"/>
  <c r="Q14" i="18" s="1"/>
  <c r="Q15" i="18" s="1"/>
  <c r="E57" i="18" l="1"/>
  <c r="J24" i="15"/>
  <c r="J23" i="15"/>
  <c r="J22" i="15"/>
  <c r="J21" i="15"/>
  <c r="J20" i="15"/>
  <c r="I24" i="15"/>
  <c r="I23" i="15"/>
  <c r="I22" i="15"/>
  <c r="I21" i="15"/>
  <c r="I43" i="15" s="1"/>
  <c r="I20" i="15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K24" i="16"/>
  <c r="J24" i="16"/>
  <c r="I24" i="16"/>
  <c r="G24" i="16"/>
  <c r="H24" i="16" s="1"/>
  <c r="K23" i="16"/>
  <c r="J23" i="16"/>
  <c r="I23" i="16"/>
  <c r="G23" i="16"/>
  <c r="H23" i="16" s="1"/>
  <c r="K22" i="16"/>
  <c r="J22" i="16"/>
  <c r="I22" i="16"/>
  <c r="G22" i="16"/>
  <c r="H22" i="16" s="1"/>
  <c r="K21" i="16"/>
  <c r="J21" i="16"/>
  <c r="I21" i="16"/>
  <c r="G21" i="16"/>
  <c r="H21" i="16" s="1"/>
  <c r="K20" i="16"/>
  <c r="J20" i="16"/>
  <c r="I20" i="16"/>
  <c r="G20" i="16"/>
  <c r="F14" i="16"/>
  <c r="C12" i="16"/>
  <c r="C11" i="16"/>
  <c r="Q14" i="16" s="1"/>
  <c r="Q15" i="16" s="1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G24" i="15"/>
  <c r="H24" i="15" s="1"/>
  <c r="G23" i="15"/>
  <c r="H23" i="15" s="1"/>
  <c r="G22" i="15"/>
  <c r="H22" i="15" s="1"/>
  <c r="G21" i="15"/>
  <c r="H21" i="15" s="1"/>
  <c r="G20" i="15"/>
  <c r="F14" i="15"/>
  <c r="C12" i="15"/>
  <c r="C11" i="15"/>
  <c r="Q14" i="15" s="1"/>
  <c r="Q15" i="15" s="1"/>
  <c r="G23" i="6"/>
  <c r="G22" i="6"/>
  <c r="G21" i="6"/>
  <c r="G20" i="6"/>
  <c r="I33" i="15" l="1"/>
  <c r="I31" i="15"/>
  <c r="I32" i="15"/>
  <c r="I33" i="16"/>
  <c r="I32" i="16"/>
  <c r="I31" i="16"/>
  <c r="I56" i="15"/>
  <c r="E57" i="16"/>
  <c r="I41" i="15"/>
  <c r="I45" i="16"/>
  <c r="I41" i="16"/>
  <c r="L24" i="16"/>
  <c r="N24" i="16" s="1"/>
  <c r="M31" i="16" s="1"/>
  <c r="H20" i="16"/>
  <c r="L20" i="16" s="1"/>
  <c r="I42" i="16"/>
  <c r="I38" i="16"/>
  <c r="I34" i="16"/>
  <c r="I40" i="16"/>
  <c r="I36" i="16"/>
  <c r="I44" i="16"/>
  <c r="I48" i="16"/>
  <c r="I52" i="16"/>
  <c r="I56" i="16"/>
  <c r="I35" i="16"/>
  <c r="I39" i="16"/>
  <c r="I43" i="16"/>
  <c r="I47" i="16"/>
  <c r="I51" i="16"/>
  <c r="I55" i="16"/>
  <c r="I46" i="16"/>
  <c r="I50" i="16"/>
  <c r="I54" i="16"/>
  <c r="I37" i="16"/>
  <c r="I49" i="16"/>
  <c r="I53" i="16"/>
  <c r="L22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J33" i="15" s="1"/>
  <c r="G32" i="15"/>
  <c r="G31" i="15"/>
  <c r="H20" i="15"/>
  <c r="L20" i="15" s="1"/>
  <c r="L23" i="15"/>
  <c r="Q8" i="15"/>
  <c r="L21" i="15"/>
  <c r="I34" i="15"/>
  <c r="I36" i="15"/>
  <c r="I38" i="15"/>
  <c r="I40" i="15"/>
  <c r="I42" i="15"/>
  <c r="I44" i="15"/>
  <c r="I46" i="15"/>
  <c r="I48" i="15"/>
  <c r="I50" i="15"/>
  <c r="I52" i="15"/>
  <c r="I54" i="15"/>
  <c r="E57" i="15"/>
  <c r="L24" i="15"/>
  <c r="N24" i="15" s="1"/>
  <c r="I35" i="15"/>
  <c r="I37" i="15"/>
  <c r="I39" i="15"/>
  <c r="I45" i="15"/>
  <c r="I47" i="15"/>
  <c r="I49" i="15"/>
  <c r="I51" i="15"/>
  <c r="I53" i="15"/>
  <c r="I55" i="15"/>
  <c r="K24" i="6"/>
  <c r="K23" i="6"/>
  <c r="K22" i="6"/>
  <c r="K21" i="6"/>
  <c r="K20" i="6"/>
  <c r="J31" i="15" l="1"/>
  <c r="J32" i="15"/>
  <c r="R33" i="15"/>
  <c r="S33" i="15" s="1"/>
  <c r="R41" i="15"/>
  <c r="S41" i="15" s="1"/>
  <c r="R45" i="15"/>
  <c r="S45" i="15" s="1"/>
  <c r="R53" i="15"/>
  <c r="S53" i="15" s="1"/>
  <c r="R49" i="15"/>
  <c r="S49" i="15" s="1"/>
  <c r="R31" i="15"/>
  <c r="S31" i="15" s="1"/>
  <c r="R35" i="15"/>
  <c r="S35" i="15" s="1"/>
  <c r="R39" i="15"/>
  <c r="S39" i="15" s="1"/>
  <c r="R43" i="15"/>
  <c r="S43" i="15" s="1"/>
  <c r="R47" i="15"/>
  <c r="S47" i="15" s="1"/>
  <c r="R51" i="15"/>
  <c r="S51" i="15" s="1"/>
  <c r="R55" i="15"/>
  <c r="S55" i="15" s="1"/>
  <c r="R37" i="15"/>
  <c r="S37" i="15" s="1"/>
  <c r="R36" i="15"/>
  <c r="S36" i="15" s="1"/>
  <c r="R40" i="15"/>
  <c r="S40" i="15" s="1"/>
  <c r="R44" i="15"/>
  <c r="S44" i="15" s="1"/>
  <c r="R48" i="15"/>
  <c r="S48" i="15" s="1"/>
  <c r="R52" i="15"/>
  <c r="S52" i="15" s="1"/>
  <c r="R56" i="15"/>
  <c r="S56" i="15" s="1"/>
  <c r="R32" i="15"/>
  <c r="S32" i="15" s="1"/>
  <c r="R34" i="15"/>
  <c r="S34" i="15" s="1"/>
  <c r="R38" i="15"/>
  <c r="S38" i="15" s="1"/>
  <c r="H42" i="15"/>
  <c r="R42" i="15"/>
  <c r="S42" i="15" s="1"/>
  <c r="R46" i="15"/>
  <c r="S46" i="15" s="1"/>
  <c r="R50" i="15"/>
  <c r="S50" i="15" s="1"/>
  <c r="R54" i="15"/>
  <c r="S54" i="15" s="1"/>
  <c r="H33" i="15"/>
  <c r="H45" i="15"/>
  <c r="H31" i="15"/>
  <c r="H35" i="15"/>
  <c r="H39" i="15"/>
  <c r="H43" i="15"/>
  <c r="H47" i="15"/>
  <c r="H51" i="15"/>
  <c r="H55" i="15"/>
  <c r="H37" i="15"/>
  <c r="H53" i="15"/>
  <c r="H48" i="15"/>
  <c r="H56" i="15"/>
  <c r="H41" i="15"/>
  <c r="H49" i="15"/>
  <c r="H34" i="15"/>
  <c r="H38" i="15"/>
  <c r="H46" i="15"/>
  <c r="H50" i="15"/>
  <c r="H54" i="15"/>
  <c r="G38" i="16"/>
  <c r="G46" i="16"/>
  <c r="G36" i="16"/>
  <c r="G48" i="16"/>
  <c r="G50" i="16"/>
  <c r="G42" i="16"/>
  <c r="G34" i="16"/>
  <c r="M24" i="16"/>
  <c r="G56" i="16"/>
  <c r="R56" i="16" s="1"/>
  <c r="S56" i="16" s="1"/>
  <c r="G55" i="16"/>
  <c r="G47" i="16"/>
  <c r="G39" i="16"/>
  <c r="G31" i="16"/>
  <c r="J31" i="16" s="1"/>
  <c r="L23" i="16"/>
  <c r="M23" i="16" s="1"/>
  <c r="Q8" i="16"/>
  <c r="G53" i="16"/>
  <c r="G45" i="16"/>
  <c r="G37" i="16"/>
  <c r="L21" i="16"/>
  <c r="G51" i="16"/>
  <c r="G43" i="16"/>
  <c r="G35" i="16"/>
  <c r="G49" i="16"/>
  <c r="G41" i="16"/>
  <c r="G33" i="16"/>
  <c r="J33" i="16" s="1"/>
  <c r="G52" i="16"/>
  <c r="G44" i="16"/>
  <c r="G54" i="16"/>
  <c r="G40" i="16"/>
  <c r="G32" i="16"/>
  <c r="J32" i="16" s="1"/>
  <c r="L22" i="16"/>
  <c r="N22" i="16" s="1"/>
  <c r="N20" i="16"/>
  <c r="M20" i="16"/>
  <c r="M31" i="15"/>
  <c r="M24" i="15"/>
  <c r="K36" i="15"/>
  <c r="J36" i="15"/>
  <c r="K44" i="15"/>
  <c r="J44" i="15"/>
  <c r="K52" i="15"/>
  <c r="J52" i="15"/>
  <c r="N23" i="15"/>
  <c r="M23" i="15"/>
  <c r="K37" i="15"/>
  <c r="P37" i="15" s="1"/>
  <c r="J37" i="15"/>
  <c r="K45" i="15"/>
  <c r="P45" i="15" s="1"/>
  <c r="J45" i="15"/>
  <c r="K49" i="15"/>
  <c r="P49" i="15" s="1"/>
  <c r="J49" i="15"/>
  <c r="K53" i="15"/>
  <c r="P53" i="15" s="1"/>
  <c r="J53" i="15"/>
  <c r="P52" i="15"/>
  <c r="H52" i="15"/>
  <c r="H44" i="15"/>
  <c r="M21" i="15"/>
  <c r="N21" i="15"/>
  <c r="K31" i="15"/>
  <c r="L31" i="15" s="1"/>
  <c r="K35" i="15"/>
  <c r="J35" i="15"/>
  <c r="K39" i="15"/>
  <c r="J39" i="15"/>
  <c r="K43" i="15"/>
  <c r="J43" i="15"/>
  <c r="K47" i="15"/>
  <c r="J47" i="15"/>
  <c r="K51" i="15"/>
  <c r="J51" i="15"/>
  <c r="K55" i="15"/>
  <c r="J55" i="15"/>
  <c r="K32" i="15"/>
  <c r="K40" i="15"/>
  <c r="J40" i="15"/>
  <c r="K48" i="15"/>
  <c r="J48" i="15"/>
  <c r="K56" i="15"/>
  <c r="P56" i="15" s="1"/>
  <c r="J56" i="15"/>
  <c r="H40" i="15"/>
  <c r="H36" i="15"/>
  <c r="H32" i="15"/>
  <c r="K33" i="15"/>
  <c r="K41" i="15"/>
  <c r="J41" i="15"/>
  <c r="M22" i="15"/>
  <c r="N22" i="15"/>
  <c r="N20" i="15"/>
  <c r="M20" i="15"/>
  <c r="K34" i="15"/>
  <c r="J34" i="15"/>
  <c r="K38" i="15"/>
  <c r="J38" i="15"/>
  <c r="K42" i="15"/>
  <c r="J42" i="15"/>
  <c r="K46" i="15"/>
  <c r="J46" i="15"/>
  <c r="K50" i="15"/>
  <c r="J50" i="15"/>
  <c r="K54" i="15"/>
  <c r="J54" i="15"/>
  <c r="C12" i="6"/>
  <c r="C11" i="6"/>
  <c r="Q14" i="6" s="1"/>
  <c r="Q15" i="6" s="1"/>
  <c r="J24" i="6"/>
  <c r="J24" i="18" s="1"/>
  <c r="J23" i="6"/>
  <c r="J23" i="18" s="1"/>
  <c r="J22" i="6"/>
  <c r="J22" i="18" s="1"/>
  <c r="J21" i="6"/>
  <c r="J21" i="18" s="1"/>
  <c r="J20" i="6"/>
  <c r="J20" i="18" s="1"/>
  <c r="I24" i="6"/>
  <c r="I31" i="6" s="1"/>
  <c r="I23" i="6"/>
  <c r="I22" i="6"/>
  <c r="I21" i="6"/>
  <c r="I20" i="6"/>
  <c r="D52" i="1"/>
  <c r="F52" i="1"/>
  <c r="I32" i="6" l="1"/>
  <c r="P33" i="15"/>
  <c r="I33" i="6"/>
  <c r="R31" i="16"/>
  <c r="S31" i="16" s="1"/>
  <c r="R33" i="16"/>
  <c r="S33" i="16" s="1"/>
  <c r="R52" i="16"/>
  <c r="S52" i="16" s="1"/>
  <c r="R47" i="16"/>
  <c r="S47" i="16" s="1"/>
  <c r="R36" i="16"/>
  <c r="S36" i="16" s="1"/>
  <c r="R46" i="16"/>
  <c r="S46" i="16" s="1"/>
  <c r="R40" i="16"/>
  <c r="S40" i="16" s="1"/>
  <c r="R43" i="16"/>
  <c r="S43" i="16" s="1"/>
  <c r="R45" i="16"/>
  <c r="S45" i="16" s="1"/>
  <c r="R50" i="16"/>
  <c r="S50" i="16" s="1"/>
  <c r="R38" i="16"/>
  <c r="S38" i="16" s="1"/>
  <c r="R32" i="16"/>
  <c r="S32" i="16" s="1"/>
  <c r="R44" i="16"/>
  <c r="S44" i="16" s="1"/>
  <c r="R49" i="16"/>
  <c r="S49" i="16" s="1"/>
  <c r="R34" i="16"/>
  <c r="S34" i="16" s="1"/>
  <c r="R35" i="16"/>
  <c r="S35" i="16" s="1"/>
  <c r="R37" i="16"/>
  <c r="S37" i="16" s="1"/>
  <c r="R55" i="16"/>
  <c r="S55" i="16" s="1"/>
  <c r="R42" i="16"/>
  <c r="S42" i="16" s="1"/>
  <c r="R54" i="16"/>
  <c r="S54" i="16" s="1"/>
  <c r="R41" i="16"/>
  <c r="S41" i="16" s="1"/>
  <c r="R51" i="16"/>
  <c r="S51" i="16" s="1"/>
  <c r="R53" i="16"/>
  <c r="S53" i="16" s="1"/>
  <c r="R39" i="16"/>
  <c r="S39" i="16" s="1"/>
  <c r="R48" i="16"/>
  <c r="S48" i="16" s="1"/>
  <c r="J44" i="16"/>
  <c r="K47" i="16"/>
  <c r="L47" i="16" s="1"/>
  <c r="H36" i="16"/>
  <c r="H54" i="16"/>
  <c r="K51" i="16"/>
  <c r="L51" i="16" s="1"/>
  <c r="J48" i="16"/>
  <c r="J34" i="16"/>
  <c r="K32" i="16"/>
  <c r="H52" i="16"/>
  <c r="K35" i="16"/>
  <c r="L35" i="16" s="1"/>
  <c r="K37" i="16"/>
  <c r="L37" i="16" s="1"/>
  <c r="K55" i="16"/>
  <c r="L55" i="16" s="1"/>
  <c r="H42" i="16"/>
  <c r="K46" i="16"/>
  <c r="P46" i="16" s="1"/>
  <c r="J40" i="16"/>
  <c r="K43" i="16"/>
  <c r="L43" i="16" s="1"/>
  <c r="K31" i="16"/>
  <c r="L31" i="16" s="1"/>
  <c r="K56" i="16"/>
  <c r="L56" i="16" s="1"/>
  <c r="H50" i="16"/>
  <c r="H38" i="16"/>
  <c r="I53" i="6"/>
  <c r="I56" i="18"/>
  <c r="I48" i="18"/>
  <c r="I43" i="6"/>
  <c r="I39" i="18"/>
  <c r="I34" i="18"/>
  <c r="J38" i="16"/>
  <c r="K50" i="16"/>
  <c r="L50" i="16" s="1"/>
  <c r="K36" i="16"/>
  <c r="P36" i="16" s="1"/>
  <c r="H46" i="16"/>
  <c r="K34" i="16"/>
  <c r="P34" i="16" s="1"/>
  <c r="H34" i="16"/>
  <c r="H32" i="16"/>
  <c r="J46" i="16"/>
  <c r="K38" i="16"/>
  <c r="L38" i="16" s="1"/>
  <c r="J54" i="16"/>
  <c r="H48" i="16"/>
  <c r="J36" i="16"/>
  <c r="H44" i="16"/>
  <c r="K42" i="16"/>
  <c r="P42" i="16" s="1"/>
  <c r="J42" i="16"/>
  <c r="J50" i="16"/>
  <c r="K48" i="16"/>
  <c r="L48" i="16" s="1"/>
  <c r="K54" i="16"/>
  <c r="P54" i="16" s="1"/>
  <c r="K44" i="16"/>
  <c r="L44" i="16" s="1"/>
  <c r="K52" i="16"/>
  <c r="P52" i="16" s="1"/>
  <c r="N23" i="16"/>
  <c r="M51" i="16" s="1"/>
  <c r="M22" i="16"/>
  <c r="J35" i="16"/>
  <c r="H35" i="16"/>
  <c r="H37" i="16"/>
  <c r="J37" i="16"/>
  <c r="H55" i="16"/>
  <c r="J55" i="16"/>
  <c r="H40" i="16"/>
  <c r="K40" i="16"/>
  <c r="H33" i="16"/>
  <c r="K33" i="16"/>
  <c r="J43" i="16"/>
  <c r="H43" i="16"/>
  <c r="H45" i="16"/>
  <c r="J45" i="16"/>
  <c r="K45" i="16"/>
  <c r="L45" i="16" s="1"/>
  <c r="H31" i="16"/>
  <c r="H56" i="16"/>
  <c r="J56" i="16"/>
  <c r="I41" i="6"/>
  <c r="I37" i="6"/>
  <c r="I40" i="6"/>
  <c r="I36" i="6"/>
  <c r="I42" i="6"/>
  <c r="I34" i="6"/>
  <c r="I39" i="6"/>
  <c r="I35" i="6"/>
  <c r="I38" i="6"/>
  <c r="K41" i="16"/>
  <c r="L41" i="16" s="1"/>
  <c r="H41" i="16"/>
  <c r="J41" i="16"/>
  <c r="J51" i="16"/>
  <c r="H51" i="16"/>
  <c r="J53" i="16"/>
  <c r="H53" i="16"/>
  <c r="J39" i="16"/>
  <c r="H39" i="16"/>
  <c r="H57" i="15"/>
  <c r="J52" i="16"/>
  <c r="K39" i="16"/>
  <c r="L39" i="16" s="1"/>
  <c r="K49" i="16"/>
  <c r="J49" i="16"/>
  <c r="H49" i="16"/>
  <c r="M21" i="16"/>
  <c r="N21" i="16"/>
  <c r="M45" i="16" s="1"/>
  <c r="H47" i="16"/>
  <c r="J47" i="16"/>
  <c r="K53" i="16"/>
  <c r="I56" i="6"/>
  <c r="I44" i="6"/>
  <c r="I48" i="6"/>
  <c r="I55" i="6"/>
  <c r="I47" i="6"/>
  <c r="I52" i="6"/>
  <c r="I54" i="6"/>
  <c r="I46" i="6"/>
  <c r="I51" i="6"/>
  <c r="I49" i="6"/>
  <c r="I45" i="6"/>
  <c r="I50" i="6"/>
  <c r="M48" i="16"/>
  <c r="M32" i="16"/>
  <c r="M33" i="16"/>
  <c r="M34" i="16"/>
  <c r="L46" i="15"/>
  <c r="P46" i="15"/>
  <c r="M48" i="15"/>
  <c r="Q48" i="15" s="1"/>
  <c r="M46" i="15"/>
  <c r="N46" i="15" s="1"/>
  <c r="M44" i="15"/>
  <c r="N44" i="15" s="1"/>
  <c r="M47" i="15"/>
  <c r="N47" i="15" s="1"/>
  <c r="M45" i="15"/>
  <c r="N45" i="15" s="1"/>
  <c r="L48" i="15"/>
  <c r="L55" i="15"/>
  <c r="P55" i="15"/>
  <c r="L53" i="15"/>
  <c r="P41" i="15"/>
  <c r="L37" i="15"/>
  <c r="L44" i="15"/>
  <c r="L50" i="15"/>
  <c r="P50" i="15"/>
  <c r="L42" i="15"/>
  <c r="P42" i="15"/>
  <c r="L34" i="15"/>
  <c r="P34" i="15"/>
  <c r="L56" i="15"/>
  <c r="L40" i="15"/>
  <c r="P40" i="15"/>
  <c r="L47" i="15"/>
  <c r="P47" i="15"/>
  <c r="N31" i="15"/>
  <c r="P31" i="15"/>
  <c r="P44" i="15"/>
  <c r="L45" i="15"/>
  <c r="L54" i="15"/>
  <c r="P54" i="15"/>
  <c r="L38" i="15"/>
  <c r="P38" i="15"/>
  <c r="M34" i="15"/>
  <c r="N34" i="15" s="1"/>
  <c r="M32" i="15"/>
  <c r="M33" i="15"/>
  <c r="L41" i="15"/>
  <c r="L32" i="15"/>
  <c r="P32" i="15"/>
  <c r="L39" i="15"/>
  <c r="P39" i="15"/>
  <c r="L43" i="15"/>
  <c r="P43" i="15"/>
  <c r="L33" i="15"/>
  <c r="L51" i="15"/>
  <c r="P51" i="15"/>
  <c r="L35" i="15"/>
  <c r="P35" i="15"/>
  <c r="M42" i="15"/>
  <c r="N42" i="15" s="1"/>
  <c r="M40" i="15"/>
  <c r="Q40" i="15" s="1"/>
  <c r="M38" i="15"/>
  <c r="N38" i="15" s="1"/>
  <c r="M36" i="15"/>
  <c r="M43" i="15"/>
  <c r="N43" i="15" s="1"/>
  <c r="M41" i="15"/>
  <c r="N41" i="15" s="1"/>
  <c r="M39" i="15"/>
  <c r="N39" i="15" s="1"/>
  <c r="M37" i="15"/>
  <c r="Q37" i="15" s="1"/>
  <c r="M35" i="15"/>
  <c r="N35" i="15" s="1"/>
  <c r="P48" i="15"/>
  <c r="L49" i="15"/>
  <c r="M56" i="15"/>
  <c r="N56" i="15" s="1"/>
  <c r="M54" i="15"/>
  <c r="N54" i="15" s="1"/>
  <c r="M52" i="15"/>
  <c r="N52" i="15" s="1"/>
  <c r="M50" i="15"/>
  <c r="N50" i="15" s="1"/>
  <c r="M55" i="15"/>
  <c r="N55" i="15" s="1"/>
  <c r="M53" i="15"/>
  <c r="Q53" i="15" s="1"/>
  <c r="M51" i="15"/>
  <c r="N51" i="15" s="1"/>
  <c r="M49" i="15"/>
  <c r="N49" i="15" s="1"/>
  <c r="L52" i="15"/>
  <c r="L36" i="15"/>
  <c r="P36" i="15"/>
  <c r="N27" i="14"/>
  <c r="F24" i="15" s="1"/>
  <c r="F23" i="14"/>
  <c r="F20" i="16" s="1"/>
  <c r="H23" i="14"/>
  <c r="F21" i="16" s="1"/>
  <c r="J23" i="14"/>
  <c r="F22" i="16" s="1"/>
  <c r="L23" i="14"/>
  <c r="F23" i="16" s="1"/>
  <c r="F27" i="14"/>
  <c r="F20" i="15" s="1"/>
  <c r="H27" i="14"/>
  <c r="F21" i="15" s="1"/>
  <c r="L27" i="14"/>
  <c r="F23" i="15" s="1"/>
  <c r="N23" i="14"/>
  <c r="F24" i="16" s="1"/>
  <c r="N19" i="14"/>
  <c r="F24" i="6" s="1"/>
  <c r="L19" i="14"/>
  <c r="F23" i="6" s="1"/>
  <c r="J19" i="14"/>
  <c r="F22" i="6" s="1"/>
  <c r="H19" i="14"/>
  <c r="F21" i="6" s="1"/>
  <c r="F19" i="14"/>
  <c r="F20" i="6" s="1"/>
  <c r="E8" i="14"/>
  <c r="N48" i="15" l="1"/>
  <c r="Q32" i="15"/>
  <c r="Q31" i="15"/>
  <c r="Q33" i="15"/>
  <c r="N32" i="15"/>
  <c r="N33" i="15"/>
  <c r="N31" i="16"/>
  <c r="L32" i="16"/>
  <c r="N32" i="16" s="1"/>
  <c r="P55" i="16"/>
  <c r="P37" i="16"/>
  <c r="P51" i="16"/>
  <c r="P31" i="16"/>
  <c r="P32" i="16"/>
  <c r="P47" i="16"/>
  <c r="P35" i="16"/>
  <c r="L46" i="16"/>
  <c r="P56" i="16"/>
  <c r="P43" i="16"/>
  <c r="O28" i="14"/>
  <c r="L34" i="16"/>
  <c r="P50" i="16"/>
  <c r="I36" i="18"/>
  <c r="L21" i="18"/>
  <c r="G55" i="18"/>
  <c r="G47" i="18"/>
  <c r="G31" i="18"/>
  <c r="J31" i="18" s="1"/>
  <c r="G35" i="18"/>
  <c r="G44" i="18"/>
  <c r="L23" i="18"/>
  <c r="N23" i="18" s="1"/>
  <c r="G43" i="18"/>
  <c r="Q8" i="18"/>
  <c r="G34" i="18"/>
  <c r="G37" i="18"/>
  <c r="G56" i="18"/>
  <c r="J56" i="18" s="1"/>
  <c r="G36" i="18"/>
  <c r="G54" i="18"/>
  <c r="G46" i="18"/>
  <c r="G42" i="18"/>
  <c r="G33" i="18"/>
  <c r="J33" i="18" s="1"/>
  <c r="G40" i="18"/>
  <c r="G51" i="18"/>
  <c r="G39" i="18"/>
  <c r="G50" i="18"/>
  <c r="G38" i="18"/>
  <c r="L20" i="18"/>
  <c r="M20" i="18" s="1"/>
  <c r="G48" i="18"/>
  <c r="G32" i="18"/>
  <c r="J32" i="18" s="1"/>
  <c r="G53" i="18"/>
  <c r="G45" i="18"/>
  <c r="G41" i="18"/>
  <c r="L22" i="18"/>
  <c r="N22" i="18" s="1"/>
  <c r="G52" i="18"/>
  <c r="G49" i="18"/>
  <c r="I50" i="18"/>
  <c r="I55" i="18"/>
  <c r="I38" i="18"/>
  <c r="I35" i="18"/>
  <c r="J42" i="18"/>
  <c r="L24" i="18"/>
  <c r="I51" i="18"/>
  <c r="I49" i="18"/>
  <c r="I53" i="18"/>
  <c r="I54" i="18"/>
  <c r="I52" i="18"/>
  <c r="I45" i="18"/>
  <c r="I43" i="18"/>
  <c r="I46" i="18"/>
  <c r="I47" i="18"/>
  <c r="I44" i="18"/>
  <c r="I37" i="18"/>
  <c r="I42" i="18"/>
  <c r="I40" i="18"/>
  <c r="I41" i="18"/>
  <c r="L36" i="16"/>
  <c r="P38" i="16"/>
  <c r="Q34" i="16"/>
  <c r="L42" i="16"/>
  <c r="L54" i="16"/>
  <c r="P48" i="16"/>
  <c r="M54" i="16"/>
  <c r="N54" i="16" s="1"/>
  <c r="P44" i="16"/>
  <c r="M55" i="16"/>
  <c r="Q55" i="16" s="1"/>
  <c r="N48" i="16"/>
  <c r="M53" i="16"/>
  <c r="N53" i="16" s="1"/>
  <c r="M56" i="16"/>
  <c r="N56" i="16" s="1"/>
  <c r="L52" i="16"/>
  <c r="P41" i="16"/>
  <c r="M50" i="16"/>
  <c r="N50" i="16" s="1"/>
  <c r="M52" i="16"/>
  <c r="M49" i="16"/>
  <c r="N49" i="16" s="1"/>
  <c r="H57" i="16"/>
  <c r="M46" i="16"/>
  <c r="Q46" i="16" s="1"/>
  <c r="M39" i="16"/>
  <c r="Q39" i="16" s="1"/>
  <c r="M44" i="16"/>
  <c r="N44" i="16" s="1"/>
  <c r="P45" i="16"/>
  <c r="M47" i="16"/>
  <c r="Q47" i="16" s="1"/>
  <c r="M41" i="16"/>
  <c r="Q41" i="16" s="1"/>
  <c r="M38" i="16"/>
  <c r="Q38" i="16" s="1"/>
  <c r="P39" i="16"/>
  <c r="Q48" i="16"/>
  <c r="L53" i="16"/>
  <c r="P53" i="16"/>
  <c r="L33" i="16"/>
  <c r="N33" i="16" s="1"/>
  <c r="P33" i="16"/>
  <c r="N37" i="15"/>
  <c r="N34" i="16"/>
  <c r="M35" i="16"/>
  <c r="M40" i="16"/>
  <c r="N40" i="16" s="1"/>
  <c r="M37" i="16"/>
  <c r="M43" i="16"/>
  <c r="M42" i="16"/>
  <c r="L49" i="16"/>
  <c r="P49" i="16"/>
  <c r="M36" i="16"/>
  <c r="L40" i="16"/>
  <c r="P40" i="16"/>
  <c r="N51" i="16"/>
  <c r="Q51" i="16"/>
  <c r="Q45" i="16"/>
  <c r="N45" i="16"/>
  <c r="Q44" i="15"/>
  <c r="Q52" i="15"/>
  <c r="Q55" i="15"/>
  <c r="Q50" i="15"/>
  <c r="Q51" i="15"/>
  <c r="Q47" i="15"/>
  <c r="Q43" i="15"/>
  <c r="Q46" i="15"/>
  <c r="Q45" i="15"/>
  <c r="Q42" i="15"/>
  <c r="Q34" i="15"/>
  <c r="Q54" i="15"/>
  <c r="P57" i="15"/>
  <c r="Q39" i="15"/>
  <c r="Q56" i="15"/>
  <c r="Q41" i="15"/>
  <c r="N53" i="15"/>
  <c r="L57" i="15"/>
  <c r="Q38" i="15"/>
  <c r="Q49" i="15"/>
  <c r="N36" i="15"/>
  <c r="Q36" i="15"/>
  <c r="Q35" i="15"/>
  <c r="N40" i="15"/>
  <c r="D10" i="14"/>
  <c r="O24" i="14"/>
  <c r="O25" i="14"/>
  <c r="O29" i="14"/>
  <c r="N55" i="16" l="1"/>
  <c r="Q31" i="16"/>
  <c r="Q33" i="16"/>
  <c r="Q32" i="16"/>
  <c r="R54" i="18"/>
  <c r="S54" i="18" s="1"/>
  <c r="R52" i="18"/>
  <c r="S52" i="18" s="1"/>
  <c r="R53" i="18"/>
  <c r="S53" i="18" s="1"/>
  <c r="R41" i="18"/>
  <c r="S41" i="18" s="1"/>
  <c r="R42" i="18"/>
  <c r="S42" i="18" s="1"/>
  <c r="R45" i="18"/>
  <c r="S45" i="18" s="1"/>
  <c r="R51" i="18"/>
  <c r="S51" i="18" s="1"/>
  <c r="R46" i="18"/>
  <c r="S46" i="18" s="1"/>
  <c r="R37" i="18"/>
  <c r="S37" i="18" s="1"/>
  <c r="R49" i="18"/>
  <c r="S49" i="18" s="1"/>
  <c r="R47" i="18"/>
  <c r="S47" i="18" s="1"/>
  <c r="R38" i="18"/>
  <c r="S38" i="18" s="1"/>
  <c r="R40" i="18"/>
  <c r="S40" i="18" s="1"/>
  <c r="R34" i="18"/>
  <c r="S34" i="18" s="1"/>
  <c r="R55" i="18"/>
  <c r="S55" i="18" s="1"/>
  <c r="R44" i="18"/>
  <c r="S44" i="18" s="1"/>
  <c r="R50" i="18"/>
  <c r="S50" i="18" s="1"/>
  <c r="R36" i="18"/>
  <c r="S36" i="18" s="1"/>
  <c r="R35" i="18"/>
  <c r="S35" i="18" s="1"/>
  <c r="R31" i="18"/>
  <c r="S31" i="18" s="1"/>
  <c r="R48" i="18"/>
  <c r="S48" i="18" s="1"/>
  <c r="R39" i="18"/>
  <c r="S39" i="18" s="1"/>
  <c r="R56" i="18"/>
  <c r="S56" i="18" s="1"/>
  <c r="R43" i="18"/>
  <c r="S43" i="18" s="1"/>
  <c r="R33" i="18"/>
  <c r="S33" i="18" s="1"/>
  <c r="R32" i="18"/>
  <c r="S32" i="18" s="1"/>
  <c r="H50" i="18"/>
  <c r="H33" i="18"/>
  <c r="H35" i="18"/>
  <c r="H41" i="18"/>
  <c r="K48" i="18"/>
  <c r="L48" i="18" s="1"/>
  <c r="H39" i="18"/>
  <c r="H42" i="18"/>
  <c r="H56" i="18"/>
  <c r="H43" i="18"/>
  <c r="H31" i="18"/>
  <c r="H49" i="18"/>
  <c r="H45" i="18"/>
  <c r="H51" i="18"/>
  <c r="H46" i="18"/>
  <c r="H37" i="18"/>
  <c r="H47" i="18"/>
  <c r="H36" i="18"/>
  <c r="H52" i="18"/>
  <c r="H53" i="18"/>
  <c r="H40" i="18"/>
  <c r="H54" i="18"/>
  <c r="K34" i="18"/>
  <c r="L34" i="18" s="1"/>
  <c r="H44" i="18"/>
  <c r="H55" i="18"/>
  <c r="J55" i="18"/>
  <c r="K41" i="18"/>
  <c r="L41" i="18" s="1"/>
  <c r="J43" i="18"/>
  <c r="K43" i="18"/>
  <c r="P43" i="18" s="1"/>
  <c r="M22" i="18"/>
  <c r="J37" i="18"/>
  <c r="K40" i="18"/>
  <c r="L40" i="18" s="1"/>
  <c r="K53" i="18"/>
  <c r="L53" i="18" s="1"/>
  <c r="J35" i="18"/>
  <c r="K44" i="18"/>
  <c r="L44" i="18" s="1"/>
  <c r="K54" i="18"/>
  <c r="L54" i="18" s="1"/>
  <c r="K50" i="18"/>
  <c r="L50" i="18" s="1"/>
  <c r="K42" i="18"/>
  <c r="L42" i="18" s="1"/>
  <c r="J36" i="18"/>
  <c r="J52" i="18"/>
  <c r="J50" i="18"/>
  <c r="K35" i="18"/>
  <c r="L35" i="18" s="1"/>
  <c r="K36" i="18"/>
  <c r="L36" i="18" s="1"/>
  <c r="J51" i="18"/>
  <c r="J41" i="18"/>
  <c r="J53" i="18"/>
  <c r="J54" i="18"/>
  <c r="K55" i="18"/>
  <c r="J39" i="18"/>
  <c r="K38" i="18"/>
  <c r="L38" i="18" s="1"/>
  <c r="J40" i="18"/>
  <c r="J44" i="18"/>
  <c r="K39" i="18"/>
  <c r="L39" i="18" s="1"/>
  <c r="K49" i="18"/>
  <c r="P49" i="18" s="1"/>
  <c r="N20" i="18"/>
  <c r="M34" i="18" s="1"/>
  <c r="K47" i="18"/>
  <c r="P47" i="18" s="1"/>
  <c r="K52" i="18"/>
  <c r="L52" i="18" s="1"/>
  <c r="K31" i="18"/>
  <c r="L31" i="18" s="1"/>
  <c r="J45" i="18"/>
  <c r="K46" i="18"/>
  <c r="L46" i="18" s="1"/>
  <c r="H38" i="18"/>
  <c r="J38" i="18"/>
  <c r="K33" i="18"/>
  <c r="L33" i="18" s="1"/>
  <c r="J49" i="18"/>
  <c r="J46" i="18"/>
  <c r="K45" i="18"/>
  <c r="L45" i="18" s="1"/>
  <c r="K51" i="18"/>
  <c r="L51" i="18" s="1"/>
  <c r="K56" i="18"/>
  <c r="K37" i="18"/>
  <c r="L37" i="18" s="1"/>
  <c r="J47" i="18"/>
  <c r="H34" i="18"/>
  <c r="J34" i="18"/>
  <c r="H32" i="18"/>
  <c r="H48" i="18"/>
  <c r="J48" i="18"/>
  <c r="K32" i="18"/>
  <c r="M24" i="18"/>
  <c r="N24" i="18"/>
  <c r="M31" i="18" s="1"/>
  <c r="N31" i="18" s="1"/>
  <c r="M53" i="18"/>
  <c r="M23" i="18"/>
  <c r="M48" i="18"/>
  <c r="N21" i="18"/>
  <c r="M21" i="18"/>
  <c r="Q54" i="16"/>
  <c r="Q53" i="16"/>
  <c r="Q50" i="16"/>
  <c r="N38" i="16"/>
  <c r="Q49" i="16"/>
  <c r="Q56" i="16"/>
  <c r="N46" i="16"/>
  <c r="N52" i="16"/>
  <c r="Q52" i="16"/>
  <c r="N39" i="16"/>
  <c r="N41" i="16"/>
  <c r="Q44" i="16"/>
  <c r="N47" i="16"/>
  <c r="P57" i="16"/>
  <c r="L57" i="16"/>
  <c r="Q42" i="16"/>
  <c r="N42" i="16"/>
  <c r="N35" i="16"/>
  <c r="Q35" i="16"/>
  <c r="Q36" i="16"/>
  <c r="N36" i="16"/>
  <c r="Q43" i="16"/>
  <c r="N43" i="16"/>
  <c r="Q37" i="16"/>
  <c r="N37" i="16"/>
  <c r="Q40" i="16"/>
  <c r="Q57" i="15"/>
  <c r="N57" i="15"/>
  <c r="L32" i="18" l="1"/>
  <c r="P48" i="18"/>
  <c r="P34" i="18"/>
  <c r="L43" i="18"/>
  <c r="M55" i="18"/>
  <c r="Q55" i="18" s="1"/>
  <c r="L49" i="18"/>
  <c r="P41" i="18"/>
  <c r="P44" i="18"/>
  <c r="P36" i="18"/>
  <c r="P46" i="18"/>
  <c r="P51" i="18"/>
  <c r="N53" i="18"/>
  <c r="P40" i="18"/>
  <c r="P42" i="18"/>
  <c r="M52" i="18"/>
  <c r="Q52" i="18" s="1"/>
  <c r="P53" i="18"/>
  <c r="P54" i="18"/>
  <c r="P45" i="18"/>
  <c r="M39" i="18"/>
  <c r="Q39" i="18" s="1"/>
  <c r="L47" i="18"/>
  <c r="P50" i="18"/>
  <c r="P35" i="18"/>
  <c r="P31" i="18"/>
  <c r="L55" i="18"/>
  <c r="P55" i="18"/>
  <c r="P38" i="18"/>
  <c r="M50" i="18"/>
  <c r="Q50" i="18" s="1"/>
  <c r="H57" i="18"/>
  <c r="P39" i="18"/>
  <c r="P52" i="18"/>
  <c r="P56" i="18"/>
  <c r="L56" i="18"/>
  <c r="P37" i="18"/>
  <c r="P33" i="18"/>
  <c r="P32" i="18"/>
  <c r="Q58" i="15"/>
  <c r="Q27" i="15" s="1"/>
  <c r="N58" i="15"/>
  <c r="N27" i="15" s="1"/>
  <c r="Q22" i="15" s="1"/>
  <c r="M41" i="18"/>
  <c r="Q41" i="18" s="1"/>
  <c r="M36" i="18"/>
  <c r="N36" i="18" s="1"/>
  <c r="M33" i="18"/>
  <c r="M37" i="18"/>
  <c r="N37" i="18" s="1"/>
  <c r="M40" i="18"/>
  <c r="Q40" i="18" s="1"/>
  <c r="M42" i="18"/>
  <c r="Q42" i="18" s="1"/>
  <c r="M38" i="18"/>
  <c r="Q38" i="18" s="1"/>
  <c r="M54" i="18"/>
  <c r="Q54" i="18" s="1"/>
  <c r="M49" i="18"/>
  <c r="N49" i="18" s="1"/>
  <c r="M51" i="18"/>
  <c r="N51" i="18" s="1"/>
  <c r="M56" i="18"/>
  <c r="N56" i="18" s="1"/>
  <c r="M32" i="18"/>
  <c r="Q53" i="18"/>
  <c r="Q48" i="18"/>
  <c r="N48" i="18"/>
  <c r="M43" i="18"/>
  <c r="M45" i="18"/>
  <c r="M46" i="18"/>
  <c r="M47" i="18"/>
  <c r="M44" i="18"/>
  <c r="M35" i="18"/>
  <c r="Q35" i="18" s="1"/>
  <c r="N34" i="18"/>
  <c r="Q34" i="18"/>
  <c r="Q57" i="16"/>
  <c r="Q58" i="16" s="1"/>
  <c r="N57" i="16"/>
  <c r="Q33" i="18" l="1"/>
  <c r="Q32" i="18"/>
  <c r="Q31" i="18"/>
  <c r="N32" i="18"/>
  <c r="N33" i="18"/>
  <c r="Q21" i="15"/>
  <c r="G52" i="14" s="1"/>
  <c r="Q9" i="15"/>
  <c r="Q11" i="15" s="1"/>
  <c r="Q17" i="15" s="1"/>
  <c r="N55" i="18"/>
  <c r="Q36" i="18"/>
  <c r="N39" i="18"/>
  <c r="N52" i="18"/>
  <c r="N41" i="18"/>
  <c r="L57" i="18"/>
  <c r="N50" i="18"/>
  <c r="Q37" i="18"/>
  <c r="P57" i="18"/>
  <c r="N58" i="16"/>
  <c r="N27" i="16" s="1"/>
  <c r="Q22" i="16" s="1"/>
  <c r="Q27" i="16"/>
  <c r="N40" i="18"/>
  <c r="Q56" i="18"/>
  <c r="N54" i="18"/>
  <c r="N42" i="18"/>
  <c r="Q49" i="18"/>
  <c r="N38" i="18"/>
  <c r="Q51" i="18"/>
  <c r="N45" i="18"/>
  <c r="Q45" i="18"/>
  <c r="N35" i="18"/>
  <c r="N44" i="18"/>
  <c r="Q44" i="18"/>
  <c r="N43" i="18"/>
  <c r="Q43" i="18"/>
  <c r="N47" i="18"/>
  <c r="Q47" i="18"/>
  <c r="N46" i="18"/>
  <c r="Q46" i="18"/>
  <c r="Q21" i="16" l="1"/>
  <c r="G51" i="14" s="1"/>
  <c r="Q19" i="15"/>
  <c r="E52" i="14" s="1"/>
  <c r="D52" i="14"/>
  <c r="Q9" i="16"/>
  <c r="Q11" i="16" s="1"/>
  <c r="D51" i="14" s="1"/>
  <c r="C52" i="14"/>
  <c r="G58" i="14" s="1"/>
  <c r="N57" i="18"/>
  <c r="Q57" i="18"/>
  <c r="G60" i="14" l="1"/>
  <c r="Q17" i="16"/>
  <c r="Q58" i="18"/>
  <c r="Q27" i="18" s="1"/>
  <c r="N58" i="18"/>
  <c r="N27" i="18" s="1"/>
  <c r="Q22" i="18" s="1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F14" i="6"/>
  <c r="Q21" i="18" l="1"/>
  <c r="G50" i="14" s="1"/>
  <c r="C51" i="14"/>
  <c r="G57" i="14" s="1"/>
  <c r="Q19" i="16"/>
  <c r="E51" i="14" s="1"/>
  <c r="Q9" i="18"/>
  <c r="Q11" i="18" s="1"/>
  <c r="D50" i="14" s="1"/>
  <c r="H24" i="6"/>
  <c r="E57" i="6"/>
  <c r="G59" i="14" l="1"/>
  <c r="D81" i="14" s="1"/>
  <c r="D82" i="14"/>
  <c r="D86" i="14"/>
  <c r="D85" i="14"/>
  <c r="D87" i="14"/>
  <c r="D89" i="14"/>
  <c r="D88" i="14"/>
  <c r="D83" i="14"/>
  <c r="D90" i="14"/>
  <c r="D84" i="14"/>
  <c r="Q17" i="18"/>
  <c r="Q19" i="18" s="1"/>
  <c r="E52" i="1"/>
  <c r="L24" i="6"/>
  <c r="N24" i="6" l="1"/>
  <c r="M31" i="6" s="1"/>
  <c r="E50" i="14"/>
  <c r="C50" i="14"/>
  <c r="G56" i="14" s="1"/>
  <c r="G56" i="6"/>
  <c r="G51" i="6"/>
  <c r="H20" i="6"/>
  <c r="L20" i="6" s="1"/>
  <c r="M20" i="6" s="1"/>
  <c r="G34" i="6"/>
  <c r="G49" i="6"/>
  <c r="G43" i="6"/>
  <c r="M24" i="6"/>
  <c r="G39" i="6"/>
  <c r="G55" i="6"/>
  <c r="G42" i="6"/>
  <c r="G48" i="6"/>
  <c r="G35" i="6"/>
  <c r="G33" i="6"/>
  <c r="J33" i="6" s="1"/>
  <c r="G47" i="6"/>
  <c r="G37" i="6"/>
  <c r="G40" i="6"/>
  <c r="G38" i="6"/>
  <c r="G32" i="6"/>
  <c r="H23" i="6"/>
  <c r="L23" i="6" s="1"/>
  <c r="N23" i="6" s="1"/>
  <c r="G45" i="6"/>
  <c r="G50" i="6"/>
  <c r="G53" i="6"/>
  <c r="G54" i="6"/>
  <c r="G36" i="6"/>
  <c r="G44" i="6"/>
  <c r="G41" i="6"/>
  <c r="H21" i="6"/>
  <c r="L21" i="6" s="1"/>
  <c r="G46" i="6"/>
  <c r="H22" i="6"/>
  <c r="L22" i="6" s="1"/>
  <c r="G31" i="6"/>
  <c r="J31" i="6" s="1"/>
  <c r="Q8" i="6"/>
  <c r="G52" i="6"/>
  <c r="D76" i="14" l="1"/>
  <c r="D78" i="14"/>
  <c r="D74" i="14"/>
  <c r="D72" i="14"/>
  <c r="D80" i="14"/>
  <c r="D71" i="14"/>
  <c r="D79" i="14"/>
  <c r="D75" i="14"/>
  <c r="D73" i="14"/>
  <c r="D77" i="14"/>
  <c r="J32" i="6"/>
  <c r="K32" i="6"/>
  <c r="L32" i="6" s="1"/>
  <c r="R52" i="6"/>
  <c r="S52" i="6" s="1"/>
  <c r="R50" i="6"/>
  <c r="S50" i="6" s="1"/>
  <c r="R46" i="6"/>
  <c r="S46" i="6" s="1"/>
  <c r="R49" i="6"/>
  <c r="S49" i="6" s="1"/>
  <c r="R36" i="6"/>
  <c r="S36" i="6" s="1"/>
  <c r="R45" i="6"/>
  <c r="S45" i="6" s="1"/>
  <c r="R40" i="6"/>
  <c r="S40" i="6" s="1"/>
  <c r="R35" i="6"/>
  <c r="S35" i="6" s="1"/>
  <c r="R39" i="6"/>
  <c r="S39" i="6" s="1"/>
  <c r="R34" i="6"/>
  <c r="S34" i="6" s="1"/>
  <c r="R44" i="6"/>
  <c r="S44" i="6" s="1"/>
  <c r="R38" i="6"/>
  <c r="S38" i="6" s="1"/>
  <c r="R33" i="6"/>
  <c r="S33" i="6" s="1"/>
  <c r="R55" i="6"/>
  <c r="S55" i="6" s="1"/>
  <c r="R56" i="6"/>
  <c r="S56" i="6" s="1"/>
  <c r="R31" i="6"/>
  <c r="S31" i="6" s="1"/>
  <c r="R54" i="6"/>
  <c r="S54" i="6" s="1"/>
  <c r="R37" i="6"/>
  <c r="S37" i="6" s="1"/>
  <c r="R48" i="6"/>
  <c r="S48" i="6" s="1"/>
  <c r="R41" i="6"/>
  <c r="S41" i="6" s="1"/>
  <c r="R53" i="6"/>
  <c r="S53" i="6" s="1"/>
  <c r="R32" i="6"/>
  <c r="S32" i="6" s="1"/>
  <c r="R47" i="6"/>
  <c r="S47" i="6" s="1"/>
  <c r="R42" i="6"/>
  <c r="S42" i="6" s="1"/>
  <c r="R43" i="6"/>
  <c r="S43" i="6" s="1"/>
  <c r="R51" i="6"/>
  <c r="S51" i="6" s="1"/>
  <c r="J52" i="6"/>
  <c r="J46" i="6"/>
  <c r="J44" i="6"/>
  <c r="J50" i="6"/>
  <c r="J38" i="6"/>
  <c r="J55" i="6"/>
  <c r="J49" i="6"/>
  <c r="J36" i="6"/>
  <c r="J45" i="6"/>
  <c r="J40" i="6"/>
  <c r="J35" i="6"/>
  <c r="J39" i="6"/>
  <c r="K34" i="6"/>
  <c r="L34" i="6" s="1"/>
  <c r="J54" i="6"/>
  <c r="J37" i="6"/>
  <c r="J41" i="6"/>
  <c r="J47" i="6"/>
  <c r="J42" i="6"/>
  <c r="J51" i="6"/>
  <c r="N20" i="6"/>
  <c r="K56" i="6"/>
  <c r="L56" i="6" s="1"/>
  <c r="J56" i="6"/>
  <c r="H51" i="6"/>
  <c r="H56" i="6"/>
  <c r="K51" i="6"/>
  <c r="L51" i="6" s="1"/>
  <c r="H34" i="6"/>
  <c r="J34" i="6"/>
  <c r="K33" i="6"/>
  <c r="H33" i="6"/>
  <c r="H43" i="6"/>
  <c r="K43" i="6"/>
  <c r="L43" i="6" s="1"/>
  <c r="J43" i="6"/>
  <c r="K52" i="6"/>
  <c r="L52" i="6" s="1"/>
  <c r="H52" i="6"/>
  <c r="H41" i="6"/>
  <c r="K41" i="6"/>
  <c r="L41" i="6" s="1"/>
  <c r="K49" i="6"/>
  <c r="L49" i="6" s="1"/>
  <c r="H49" i="6"/>
  <c r="H45" i="6"/>
  <c r="K45" i="6"/>
  <c r="L45" i="6" s="1"/>
  <c r="H35" i="6"/>
  <c r="K35" i="6"/>
  <c r="L35" i="6" s="1"/>
  <c r="H46" i="6"/>
  <c r="K46" i="6"/>
  <c r="L46" i="6" s="1"/>
  <c r="H44" i="6"/>
  <c r="K44" i="6"/>
  <c r="L44" i="6" s="1"/>
  <c r="J53" i="6"/>
  <c r="K53" i="6"/>
  <c r="L53" i="6" s="1"/>
  <c r="H53" i="6"/>
  <c r="H32" i="6"/>
  <c r="H37" i="6"/>
  <c r="K37" i="6"/>
  <c r="L37" i="6" s="1"/>
  <c r="H48" i="6"/>
  <c r="K48" i="6"/>
  <c r="L48" i="6" s="1"/>
  <c r="J48" i="6"/>
  <c r="K55" i="6"/>
  <c r="L55" i="6" s="1"/>
  <c r="H55" i="6"/>
  <c r="K39" i="6"/>
  <c r="L39" i="6" s="1"/>
  <c r="H39" i="6"/>
  <c r="H31" i="6"/>
  <c r="K31" i="6"/>
  <c r="L31" i="6" s="1"/>
  <c r="H54" i="6"/>
  <c r="K54" i="6"/>
  <c r="L54" i="6" s="1"/>
  <c r="H40" i="6"/>
  <c r="K40" i="6"/>
  <c r="L40" i="6" s="1"/>
  <c r="N22" i="6"/>
  <c r="M22" i="6"/>
  <c r="M23" i="6"/>
  <c r="N21" i="6"/>
  <c r="M21" i="6"/>
  <c r="H36" i="6"/>
  <c r="K36" i="6"/>
  <c r="L36" i="6" s="1"/>
  <c r="H50" i="6"/>
  <c r="K50" i="6"/>
  <c r="L50" i="6" s="1"/>
  <c r="H38" i="6"/>
  <c r="K38" i="6"/>
  <c r="L38" i="6" s="1"/>
  <c r="K47" i="6"/>
  <c r="L47" i="6" s="1"/>
  <c r="H47" i="6"/>
  <c r="H42" i="6"/>
  <c r="K42" i="6"/>
  <c r="L42" i="6" s="1"/>
  <c r="N31" i="6" l="1"/>
  <c r="M33" i="6"/>
  <c r="M32" i="6"/>
  <c r="N32" i="6" s="1"/>
  <c r="L33" i="6"/>
  <c r="P34" i="6"/>
  <c r="M34" i="6"/>
  <c r="N34" i="6" s="1"/>
  <c r="P56" i="6"/>
  <c r="M37" i="6"/>
  <c r="M41" i="6"/>
  <c r="M42" i="6"/>
  <c r="Q42" i="6" s="1"/>
  <c r="M35" i="6"/>
  <c r="M36" i="6"/>
  <c r="N36" i="6" s="1"/>
  <c r="M40" i="6"/>
  <c r="N40" i="6" s="1"/>
  <c r="M38" i="6"/>
  <c r="N38" i="6" s="1"/>
  <c r="M39" i="6"/>
  <c r="Q39" i="6" s="1"/>
  <c r="M46" i="6"/>
  <c r="Q46" i="6" s="1"/>
  <c r="M47" i="6"/>
  <c r="M45" i="6"/>
  <c r="N45" i="6" s="1"/>
  <c r="M44" i="6"/>
  <c r="Q44" i="6" s="1"/>
  <c r="M55" i="6"/>
  <c r="M51" i="6"/>
  <c r="M56" i="6"/>
  <c r="M49" i="6"/>
  <c r="N49" i="6" s="1"/>
  <c r="M50" i="6"/>
  <c r="N50" i="6" s="1"/>
  <c r="M52" i="6"/>
  <c r="M54" i="6"/>
  <c r="Q54" i="6" s="1"/>
  <c r="P37" i="6"/>
  <c r="P35" i="6"/>
  <c r="P53" i="6"/>
  <c r="P51" i="6"/>
  <c r="P45" i="6"/>
  <c r="P39" i="6"/>
  <c r="P55" i="6"/>
  <c r="P41" i="6"/>
  <c r="P36" i="6"/>
  <c r="P52" i="6"/>
  <c r="P50" i="6"/>
  <c r="P47" i="6"/>
  <c r="H57" i="6"/>
  <c r="P46" i="6"/>
  <c r="M43" i="6"/>
  <c r="N43" i="6" s="1"/>
  <c r="P42" i="6"/>
  <c r="P38" i="6"/>
  <c r="M53" i="6"/>
  <c r="P40" i="6"/>
  <c r="P31" i="6"/>
  <c r="P48" i="6"/>
  <c r="P32" i="6"/>
  <c r="P44" i="6"/>
  <c r="P49" i="6"/>
  <c r="M48" i="6"/>
  <c r="Q48" i="6" s="1"/>
  <c r="P54" i="6"/>
  <c r="P43" i="6"/>
  <c r="P33" i="6"/>
  <c r="N33" i="6" l="1"/>
  <c r="Q33" i="6"/>
  <c r="Q32" i="6"/>
  <c r="Q31" i="6"/>
  <c r="L57" i="6"/>
  <c r="Q34" i="6"/>
  <c r="N48" i="6"/>
  <c r="N42" i="6"/>
  <c r="Q50" i="6"/>
  <c r="N39" i="6"/>
  <c r="Q51" i="6"/>
  <c r="N51" i="6"/>
  <c r="Q35" i="6"/>
  <c r="N35" i="6"/>
  <c r="Q45" i="6"/>
  <c r="Q40" i="6"/>
  <c r="Q47" i="6"/>
  <c r="N47" i="6"/>
  <c r="N53" i="6"/>
  <c r="Q53" i="6"/>
  <c r="Q38" i="6"/>
  <c r="Q37" i="6"/>
  <c r="N37" i="6"/>
  <c r="Q36" i="6"/>
  <c r="N46" i="6"/>
  <c r="P57" i="6"/>
  <c r="Q55" i="6"/>
  <c r="N55" i="6"/>
  <c r="Q43" i="6"/>
  <c r="N44" i="6"/>
  <c r="N54" i="6"/>
  <c r="N56" i="6"/>
  <c r="Q56" i="6"/>
  <c r="N52" i="6"/>
  <c r="Q52" i="6"/>
  <c r="N41" i="6"/>
  <c r="Q41" i="6"/>
  <c r="Q49" i="6"/>
  <c r="Q57" i="6" l="1"/>
  <c r="Q58" i="6" s="1"/>
  <c r="Q27" i="6" s="1"/>
  <c r="N57" i="6"/>
  <c r="N58" i="6" s="1"/>
  <c r="N27" i="6" s="1"/>
  <c r="Q9" i="6" l="1"/>
  <c r="Q11" i="6" s="1"/>
  <c r="D49" i="14" s="1"/>
  <c r="Q22" i="6"/>
  <c r="Q21" i="6" l="1"/>
  <c r="G49" i="14" s="1"/>
  <c r="Q17" i="6"/>
  <c r="Q19" i="6" s="1"/>
  <c r="C49" i="14" l="1"/>
  <c r="C53" i="14" s="1"/>
  <c r="E49" i="14"/>
  <c r="G55" i="14" l="1"/>
  <c r="D57" i="14" l="1"/>
  <c r="D68" i="14"/>
  <c r="D63" i="14"/>
  <c r="D67" i="14"/>
  <c r="D62" i="14"/>
  <c r="D70" i="14"/>
  <c r="D66" i="14"/>
  <c r="D61" i="14"/>
  <c r="D69" i="14"/>
  <c r="D65" i="14"/>
  <c r="D64" i="14"/>
  <c r="D6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Davies</author>
  </authors>
  <commentList>
    <comment ref="J5" authorId="0" shapeId="0" xr:uid="{00000000-0006-0000-0300-000001000000}">
      <text>
        <r>
          <rPr>
            <sz val="11"/>
            <color indexed="81"/>
            <rFont val="Tahoma"/>
            <family val="2"/>
          </rPr>
          <t>Commission Communication 2014/C 207/02</t>
        </r>
      </text>
    </comment>
    <comment ref="K17" authorId="0" shapeId="0" xr:uid="{00000000-0006-0000-0300-000002000000}">
      <text>
        <r>
          <rPr>
            <sz val="11"/>
            <color indexed="81"/>
            <rFont val="Tahoma"/>
            <family val="2"/>
          </rPr>
          <t>Default degradation coefficient equals 0.9</t>
        </r>
      </text>
    </comment>
    <comment ref="L17" authorId="0" shapeId="0" xr:uid="{00000000-0006-0000-0300-000003000000}">
      <text>
        <r>
          <rPr>
            <sz val="11"/>
            <color indexed="81"/>
            <rFont val="Tahoma"/>
            <family val="2"/>
          </rPr>
          <t>When the declared capacity is lower than the part load, the value of CR is considered to be 1 and thus COPbin(Tj) equal to COPd.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Davies</author>
  </authors>
  <commentList>
    <comment ref="J5" authorId="0" shapeId="0" xr:uid="{00000000-0006-0000-0400-000001000000}">
      <text>
        <r>
          <rPr>
            <sz val="11"/>
            <color indexed="81"/>
            <rFont val="Tahoma"/>
            <family val="2"/>
          </rPr>
          <t>Commission Communication 2014/C 207/02</t>
        </r>
      </text>
    </comment>
    <comment ref="K17" authorId="0" shapeId="0" xr:uid="{00000000-0006-0000-0400-000002000000}">
      <text>
        <r>
          <rPr>
            <sz val="11"/>
            <color indexed="81"/>
            <rFont val="Tahoma"/>
            <family val="2"/>
          </rPr>
          <t>Default degradation coefficient equals 0.9</t>
        </r>
      </text>
    </comment>
    <comment ref="L17" authorId="0" shapeId="0" xr:uid="{00000000-0006-0000-0400-000003000000}">
      <text>
        <r>
          <rPr>
            <sz val="11"/>
            <color indexed="81"/>
            <rFont val="Tahoma"/>
            <family val="2"/>
          </rPr>
          <t>When the declared capacity is lower than the part load, the value of CR is considered to be 1 and thus COPbin(Tj) equal to COPd.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Davies</author>
  </authors>
  <commentList>
    <comment ref="J5" authorId="0" shapeId="0" xr:uid="{00000000-0006-0000-0500-000001000000}">
      <text>
        <r>
          <rPr>
            <sz val="11"/>
            <color indexed="81"/>
            <rFont val="Tahoma"/>
            <family val="2"/>
          </rPr>
          <t>Commission Communication 2014/C 207/02</t>
        </r>
      </text>
    </comment>
    <comment ref="K17" authorId="0" shapeId="0" xr:uid="{00000000-0006-0000-0500-000002000000}">
      <text>
        <r>
          <rPr>
            <sz val="11"/>
            <color indexed="81"/>
            <rFont val="Tahoma"/>
            <family val="2"/>
          </rPr>
          <t>Default degradation coefficient equals 0.9</t>
        </r>
      </text>
    </comment>
    <comment ref="L17" authorId="0" shapeId="0" xr:uid="{00000000-0006-0000-0500-000003000000}">
      <text>
        <r>
          <rPr>
            <sz val="11"/>
            <color indexed="81"/>
            <rFont val="Tahoma"/>
            <family val="2"/>
          </rPr>
          <t>When the declared capacity is lower than the part load, the value of CR is considered to be 1 and thus COPbin(Tj) equal to COPd.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Davies</author>
  </authors>
  <commentList>
    <comment ref="J5" authorId="0" shapeId="0" xr:uid="{00000000-0006-0000-0600-000001000000}">
      <text>
        <r>
          <rPr>
            <sz val="11"/>
            <color indexed="81"/>
            <rFont val="Tahoma"/>
            <family val="2"/>
          </rPr>
          <t>Commission Communication 2014/C 207/02</t>
        </r>
      </text>
    </comment>
    <comment ref="K17" authorId="0" shapeId="0" xr:uid="{00000000-0006-0000-0600-000002000000}">
      <text>
        <r>
          <rPr>
            <sz val="11"/>
            <color indexed="81"/>
            <rFont val="Tahoma"/>
            <family val="2"/>
          </rPr>
          <t>Default degradation coefficient equals 0.9</t>
        </r>
      </text>
    </comment>
    <comment ref="L17" authorId="0" shapeId="0" xr:uid="{00000000-0006-0000-0600-000003000000}">
      <text>
        <r>
          <rPr>
            <sz val="11"/>
            <color indexed="81"/>
            <rFont val="Tahoma"/>
            <family val="2"/>
          </rPr>
          <t>When the declared capacity is lower than the part load, the value of CR is considered to be 1 and thus COPbin(Tj) equal to COPd.</t>
        </r>
      </text>
    </comment>
  </commentList>
</comments>
</file>

<file path=xl/sharedStrings.xml><?xml version="1.0" encoding="utf-8"?>
<sst xmlns="http://schemas.openxmlformats.org/spreadsheetml/2006/main" count="536" uniqueCount="191">
  <si>
    <t>j</t>
  </si>
  <si>
    <t>Tj</t>
  </si>
  <si>
    <r>
      <rPr>
        <sz val="11"/>
        <color theme="1"/>
        <rFont val="Calibri"/>
        <family val="2"/>
      </rPr>
      <t>°</t>
    </r>
    <r>
      <rPr>
        <sz val="9.9"/>
        <color theme="1"/>
        <rFont val="Calibri"/>
        <family val="2"/>
      </rPr>
      <t>C</t>
    </r>
  </si>
  <si>
    <t>hjW</t>
  </si>
  <si>
    <t>h</t>
  </si>
  <si>
    <t>hjA</t>
  </si>
  <si>
    <t>hjC</t>
  </si>
  <si>
    <t>Total</t>
  </si>
  <si>
    <t>Table 37 - j,Tj&amp; hj reference heating seasons</t>
  </si>
  <si>
    <t>Average</t>
  </si>
  <si>
    <t>Colder</t>
  </si>
  <si>
    <t>Warmer</t>
  </si>
  <si>
    <t>Low</t>
  </si>
  <si>
    <t>Medium</t>
  </si>
  <si>
    <t>High</t>
  </si>
  <si>
    <t>A</t>
  </si>
  <si>
    <t>B</t>
  </si>
  <si>
    <t>C</t>
  </si>
  <si>
    <t>D</t>
  </si>
  <si>
    <t>Tdesignh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</si>
  <si>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</si>
  <si>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kW</t>
  </si>
  <si>
    <t>kWh</t>
  </si>
  <si>
    <t>Part Load Ratio</t>
  </si>
  <si>
    <t xml:space="preserve">Climate </t>
  </si>
  <si>
    <t>Property Full load (Pdesignh)</t>
  </si>
  <si>
    <t>Indoor Heat exchanger</t>
  </si>
  <si>
    <t>Condition</t>
  </si>
  <si>
    <t>%</t>
  </si>
  <si>
    <t>Part Load</t>
  </si>
  <si>
    <t>Declared Capacity</t>
  </si>
  <si>
    <t>COP at Declared Capacity</t>
  </si>
  <si>
    <r>
      <t>COP</t>
    </r>
    <r>
      <rPr>
        <vertAlign val="subscript"/>
        <sz val="11"/>
        <color theme="1"/>
        <rFont val="Calibri"/>
        <family val="2"/>
        <scheme val="minor"/>
      </rPr>
      <t>DC</t>
    </r>
  </si>
  <si>
    <t>COP at Part Load</t>
  </si>
  <si>
    <r>
      <t>COP</t>
    </r>
    <r>
      <rPr>
        <vertAlign val="subscript"/>
        <sz val="11"/>
        <color theme="1"/>
        <rFont val="Calibri"/>
        <family val="2"/>
        <scheme val="minor"/>
      </rPr>
      <t>PL</t>
    </r>
  </si>
  <si>
    <t>Bin</t>
  </si>
  <si>
    <t>Outdoor temperature (dry bulb)</t>
  </si>
  <si>
    <t>Hours</t>
  </si>
  <si>
    <t>Heat Load covered by HP</t>
  </si>
  <si>
    <t>Degradation Factor</t>
  </si>
  <si>
    <t>Heat Pump Capacity</t>
  </si>
  <si>
    <t>Electric back up heater</t>
  </si>
  <si>
    <t>Annual Heating Demand</t>
  </si>
  <si>
    <t>Annual Energy Input from Backup heater</t>
  </si>
  <si>
    <t>Annual Energy Input including electric backup heater</t>
  </si>
  <si>
    <r>
      <t>SCOP</t>
    </r>
    <r>
      <rPr>
        <vertAlign val="subscript"/>
        <sz val="11"/>
        <color theme="1"/>
        <rFont val="Calibri"/>
        <family val="2"/>
        <scheme val="minor"/>
      </rPr>
      <t>ON</t>
    </r>
  </si>
  <si>
    <t>Net Annual heating capacity</t>
  </si>
  <si>
    <t>hj x {Ph(Tj) - elbu(Tj)}</t>
  </si>
  <si>
    <t>Net Annual power input</t>
  </si>
  <si>
    <r>
      <t>h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1"/>
        <rFont val="Calibri"/>
        <family val="2"/>
        <scheme val="minor"/>
      </rPr>
      <t>elbu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/>
    </r>
  </si>
  <si>
    <r>
      <t>elbu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/>
    </r>
  </si>
  <si>
    <r>
      <t>h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x Ph</t>
    </r>
    <r>
      <rPr>
        <vertAlign val="subscript"/>
        <sz val="11"/>
        <color theme="1"/>
        <rFont val="Calibri"/>
        <family val="2"/>
        <scheme val="minor"/>
      </rPr>
      <t>(Tj)</t>
    </r>
  </si>
  <si>
    <r>
      <t>Ph</t>
    </r>
    <r>
      <rPr>
        <vertAlign val="subscript"/>
        <sz val="11"/>
        <color theme="1"/>
        <rFont val="Calibri"/>
        <family val="2"/>
        <scheme val="minor"/>
      </rPr>
      <t>(Tj)</t>
    </r>
  </si>
  <si>
    <r>
      <t>h</t>
    </r>
    <r>
      <rPr>
        <vertAlign val="subscript"/>
        <sz val="11"/>
        <color theme="1"/>
        <rFont val="Calibri"/>
        <family val="2"/>
        <scheme val="minor"/>
      </rPr>
      <t>j</t>
    </r>
  </si>
  <si>
    <r>
      <t>T</t>
    </r>
    <r>
      <rPr>
        <vertAlign val="subscript"/>
        <sz val="11"/>
        <color theme="1"/>
        <rFont val="Calibri"/>
        <family val="2"/>
        <scheme val="minor"/>
      </rPr>
      <t>j</t>
    </r>
  </si>
  <si>
    <r>
      <t>h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x Ph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 xml:space="preserve"> - elbu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 xml:space="preserve"> / COP</t>
    </r>
    <r>
      <rPr>
        <vertAlign val="subscript"/>
        <sz val="11"/>
        <color theme="1"/>
        <rFont val="Calibri"/>
        <family val="2"/>
        <scheme val="minor"/>
      </rPr>
      <t>PL(Tj)</t>
    </r>
    <r>
      <rPr>
        <sz val="11"/>
        <color theme="1"/>
        <rFont val="Calibri"/>
        <family val="2"/>
        <scheme val="minor"/>
      </rPr>
      <t/>
    </r>
  </si>
  <si>
    <r>
      <t>h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x [Ph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 xml:space="preserve"> - elbu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 xml:space="preserve"> / COP</t>
    </r>
    <r>
      <rPr>
        <vertAlign val="subscript"/>
        <sz val="11"/>
        <color theme="1"/>
        <rFont val="Calibri"/>
        <family val="2"/>
        <scheme val="minor"/>
      </rPr>
      <t>PL(Tj)</t>
    </r>
    <r>
      <rPr>
        <sz val="11"/>
        <color theme="1"/>
        <rFont val="Calibri"/>
        <family val="2"/>
        <scheme val="minor"/>
      </rPr>
      <t xml:space="preserve"> + elbu</t>
    </r>
    <r>
      <rPr>
        <vertAlign val="subscript"/>
        <sz val="11"/>
        <color theme="1"/>
        <rFont val="Calibri"/>
        <family val="2"/>
        <scheme val="minor"/>
      </rPr>
      <t>(Tj)</t>
    </r>
    <r>
      <rPr>
        <sz val="11"/>
        <color theme="1"/>
        <rFont val="Calibri"/>
        <family val="2"/>
        <scheme val="minor"/>
      </rPr>
      <t>]</t>
    </r>
  </si>
  <si>
    <r>
      <t>SCOP</t>
    </r>
    <r>
      <rPr>
        <vertAlign val="subscript"/>
        <sz val="11"/>
        <color theme="1"/>
        <rFont val="Calibri"/>
        <family val="2"/>
        <scheme val="minor"/>
      </rPr>
      <t>NET</t>
    </r>
  </si>
  <si>
    <t>Very High</t>
  </si>
  <si>
    <t>Degradation coefficient Cc</t>
  </si>
  <si>
    <t>Average Climate</t>
  </si>
  <si>
    <t>SCOP</t>
  </si>
  <si>
    <t>Average Climate (h/y)</t>
  </si>
  <si>
    <r>
      <t>Thermostat-off power P</t>
    </r>
    <r>
      <rPr>
        <vertAlign val="subscript"/>
        <sz val="11"/>
        <color theme="1"/>
        <rFont val="Calibri"/>
        <family val="2"/>
        <scheme val="minor"/>
      </rPr>
      <t>TO</t>
    </r>
  </si>
  <si>
    <r>
      <t>Off power P</t>
    </r>
    <r>
      <rPr>
        <vertAlign val="subscript"/>
        <sz val="11"/>
        <color theme="1"/>
        <rFont val="Calibri"/>
        <family val="2"/>
        <scheme val="minor"/>
      </rPr>
      <t>OFF</t>
    </r>
  </si>
  <si>
    <r>
      <t>Thermostat-off mode H</t>
    </r>
    <r>
      <rPr>
        <vertAlign val="subscript"/>
        <sz val="11"/>
        <color theme="1"/>
        <rFont val="Calibri"/>
        <family val="2"/>
        <scheme val="minor"/>
      </rPr>
      <t>TO</t>
    </r>
  </si>
  <si>
    <r>
      <t>Standby mode H</t>
    </r>
    <r>
      <rPr>
        <vertAlign val="subscript"/>
        <sz val="11"/>
        <color theme="1"/>
        <rFont val="Calibri"/>
        <family val="2"/>
        <scheme val="minor"/>
      </rPr>
      <t>SB</t>
    </r>
  </si>
  <si>
    <r>
      <t>Off mode H</t>
    </r>
    <r>
      <rPr>
        <vertAlign val="subscript"/>
        <sz val="11"/>
        <color theme="1"/>
        <rFont val="Calibri"/>
        <family val="2"/>
        <scheme val="minor"/>
      </rPr>
      <t>OFF</t>
    </r>
  </si>
  <si>
    <t>On mode</t>
  </si>
  <si>
    <t>Seasonal Space Heating Energy Efficiency</t>
  </si>
  <si>
    <t xml:space="preserve">Conversion Coefficient </t>
  </si>
  <si>
    <t>Seasonal Space Heating Energy Efficiency class</t>
  </si>
  <si>
    <t>Correction Factor F(1)</t>
  </si>
  <si>
    <t>Ground Source</t>
  </si>
  <si>
    <t>Air Source</t>
  </si>
  <si>
    <t>Fixed Outlet</t>
  </si>
  <si>
    <t>Variable Outlet</t>
  </si>
  <si>
    <t>Variable Outlet Flow Temperatures</t>
  </si>
  <si>
    <t>Yes</t>
  </si>
  <si>
    <t>No</t>
  </si>
  <si>
    <t>Classification under ErP</t>
  </si>
  <si>
    <t>Classification under MCS</t>
  </si>
  <si>
    <t>Heat Generator?</t>
  </si>
  <si>
    <t>Temperature Control?</t>
  </si>
  <si>
    <t>Test Conditions EN 14825:2013</t>
  </si>
  <si>
    <r>
      <t>Very High Temperature Heat Pumps must supply test data to 35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C, 55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and 65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</si>
  <si>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Low Temperature Heat Pumps only need to supply test data to 35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</si>
  <si>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Heat Pumps must supply test data at 35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and 55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</si>
  <si>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Notes:</t>
  </si>
  <si>
    <t>Heating Capacity (kW)</t>
  </si>
  <si>
    <t>All entries to 3 significant figures</t>
  </si>
  <si>
    <t>Coefficient of Performance (kW/kW)</t>
  </si>
  <si>
    <t>Product Performance Data</t>
  </si>
  <si>
    <t>Performance data always required</t>
  </si>
  <si>
    <t>A (88%)</t>
  </si>
  <si>
    <t>B (54%)</t>
  </si>
  <si>
    <t>C (35%)</t>
  </si>
  <si>
    <t>D (15%)</t>
  </si>
  <si>
    <t>E* (100%)</t>
  </si>
  <si>
    <t>If the degradation coefficient is not specified, leave blank</t>
  </si>
  <si>
    <t>Cc</t>
  </si>
  <si>
    <t>CR</t>
  </si>
  <si>
    <t>Degradation coefficient</t>
  </si>
  <si>
    <t>Capacity Ratio</t>
  </si>
  <si>
    <t>Summary</t>
  </si>
  <si>
    <r>
      <t>Q</t>
    </r>
    <r>
      <rPr>
        <vertAlign val="subscript"/>
        <sz val="14"/>
        <color theme="1"/>
        <rFont val="Calibri"/>
        <family val="2"/>
        <scheme val="minor"/>
      </rPr>
      <t>H</t>
    </r>
    <r>
      <rPr>
        <sz val="14"/>
        <color theme="1"/>
        <rFont val="Calibri"/>
        <family val="2"/>
        <scheme val="minor"/>
      </rPr>
      <t xml:space="preserve"> = P</t>
    </r>
    <r>
      <rPr>
        <vertAlign val="subscript"/>
        <sz val="14"/>
        <color theme="1"/>
        <rFont val="Calibri"/>
        <family val="2"/>
        <scheme val="minor"/>
      </rPr>
      <t>designh</t>
    </r>
    <r>
      <rPr>
        <sz val="14"/>
        <color theme="1"/>
        <rFont val="Calibri"/>
        <family val="2"/>
        <scheme val="minor"/>
      </rPr>
      <t xml:space="preserve"> x H</t>
    </r>
    <r>
      <rPr>
        <vertAlign val="subscript"/>
        <sz val="14"/>
        <color theme="1"/>
        <rFont val="Calibri"/>
        <family val="2"/>
        <scheme val="minor"/>
      </rPr>
      <t>HE</t>
    </r>
  </si>
  <si>
    <r>
      <t>Annual Electrical consumption Q</t>
    </r>
    <r>
      <rPr>
        <vertAlign val="subscript"/>
        <sz val="14"/>
        <color theme="1"/>
        <rFont val="Calibri"/>
        <family val="2"/>
        <scheme val="minor"/>
      </rPr>
      <t>HE</t>
    </r>
  </si>
  <si>
    <t>OUTPUTS</t>
  </si>
  <si>
    <t xml:space="preserve">*If the declared Temperature Operation Limit (TOL) of the heat pump is lower than Tdesignh, then it may be assumed that TOL is equal to Tdesignh </t>
  </si>
  <si>
    <r>
      <t>Condition E - The design temperature (Tdesignh) for the average climate conditions is fixed at -10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</si>
  <si>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Temperature Operation Limit (TOL)</t>
  </si>
  <si>
    <t>Seasonal Coefficient of Performance</t>
  </si>
  <si>
    <t>CLASS</t>
  </si>
  <si>
    <r>
      <t>Thermostat-off power (P</t>
    </r>
    <r>
      <rPr>
        <b/>
        <vertAlign val="subscript"/>
        <sz val="11"/>
        <color theme="1"/>
        <rFont val="Calibri"/>
        <family val="2"/>
        <scheme val="minor"/>
      </rPr>
      <t>TO</t>
    </r>
    <r>
      <rPr>
        <b/>
        <sz val="11"/>
        <color theme="1"/>
        <rFont val="Calibri"/>
        <family val="2"/>
        <scheme val="minor"/>
      </rPr>
      <t>)</t>
    </r>
  </si>
  <si>
    <r>
      <t>Off power (P</t>
    </r>
    <r>
      <rPr>
        <b/>
        <vertAlign val="subscript"/>
        <sz val="11"/>
        <color theme="1"/>
        <rFont val="Calibri"/>
        <family val="2"/>
        <scheme val="minor"/>
      </rPr>
      <t>OFF</t>
    </r>
    <r>
      <rPr>
        <b/>
        <sz val="11"/>
        <color theme="1"/>
        <rFont val="Calibri"/>
        <family val="2"/>
        <scheme val="minor"/>
      </rPr>
      <t>)</t>
    </r>
  </si>
  <si>
    <t>Key</t>
  </si>
  <si>
    <t>Input Required</t>
  </si>
  <si>
    <t>Calculated Outcomes</t>
  </si>
  <si>
    <t>Correction Factor F(2)</t>
  </si>
  <si>
    <t>Changes</t>
  </si>
  <si>
    <t>#01 original</t>
  </si>
  <si>
    <t>#03 changes made from feedback received from JBB on 16/1/15</t>
  </si>
  <si>
    <t>#02 changes made from feedback received from JBB on 19/12/14</t>
  </si>
  <si>
    <r>
      <t>The table below is only to be filled out if additional performance data is supplied by the manufacturer at the sink temperature of 45</t>
    </r>
    <r>
      <rPr>
        <vertAlign val="superscript"/>
        <sz val="14"/>
        <color rgb="FFFF0000"/>
        <rFont val="Calibri"/>
        <family val="2"/>
        <scheme val="minor"/>
      </rPr>
      <t>o</t>
    </r>
    <r>
      <rPr>
        <sz val="14"/>
        <color rgb="FFFF0000"/>
        <rFont val="Calibri"/>
        <family val="2"/>
        <scheme val="minor"/>
      </rPr>
      <t>C</t>
    </r>
  </si>
  <si>
    <t>#04 addition of 45oC, calculated based on the way SAP deals with 45oC if product performance information is not available, otherwise manufacturers test data</t>
  </si>
  <si>
    <r>
      <t>Low Temperature Application (</t>
    </r>
    <r>
      <rPr>
        <b/>
        <sz val="11"/>
        <color rgb="FFFF0000"/>
        <rFont val="Calibri"/>
        <family val="2"/>
        <scheme val="minor"/>
      </rPr>
      <t>35</t>
    </r>
    <r>
      <rPr>
        <b/>
        <vertAlign val="superscript"/>
        <sz val="11"/>
        <color rgb="FFFF0000"/>
        <rFont val="Calibri"/>
        <family val="2"/>
        <scheme val="minor"/>
      </rPr>
      <t>o</t>
    </r>
    <r>
      <rPr>
        <b/>
        <sz val="11"/>
        <color rgb="FFFF0000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)                                          EN 14825:2013 - Table 12 (ASHP) or Table 24 (GSHP)</t>
    </r>
  </si>
  <si>
    <r>
      <t>High Temperature Application (</t>
    </r>
    <r>
      <rPr>
        <b/>
        <sz val="11"/>
        <color rgb="FFFF0000"/>
        <rFont val="Calibri"/>
        <family val="2"/>
        <scheme val="minor"/>
      </rPr>
      <t>55</t>
    </r>
    <r>
      <rPr>
        <b/>
        <vertAlign val="superscript"/>
        <sz val="11"/>
        <color rgb="FFFF0000"/>
        <rFont val="Calibri"/>
        <family val="2"/>
        <scheme val="minor"/>
      </rPr>
      <t>o</t>
    </r>
    <r>
      <rPr>
        <b/>
        <sz val="11"/>
        <color rgb="FFFF0000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)                                          EN 14825:2013 - Table 18 (ASHP) or Table 30 (GSHP)</t>
    </r>
  </si>
  <si>
    <r>
      <t>Very High Temperature Application (</t>
    </r>
    <r>
      <rPr>
        <b/>
        <sz val="11"/>
        <color rgb="FFFF0000"/>
        <rFont val="Calibri"/>
        <family val="2"/>
        <scheme val="minor"/>
      </rPr>
      <t>65</t>
    </r>
    <r>
      <rPr>
        <b/>
        <vertAlign val="superscript"/>
        <sz val="11"/>
        <color rgb="FFFF0000"/>
        <rFont val="Calibri"/>
        <family val="2"/>
        <scheme val="minor"/>
      </rPr>
      <t>o</t>
    </r>
    <r>
      <rPr>
        <b/>
        <sz val="11"/>
        <color rgb="FFFF0000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)                                          EN 14825:2013 - Table 21 (ASHP) or Table 33 (GSHP)</t>
    </r>
  </si>
  <si>
    <r>
      <t>Medium Temperature Application (</t>
    </r>
    <r>
      <rPr>
        <b/>
        <sz val="11"/>
        <color rgb="FFFF0000"/>
        <rFont val="Calibri"/>
        <family val="2"/>
        <scheme val="minor"/>
      </rPr>
      <t>45</t>
    </r>
    <r>
      <rPr>
        <b/>
        <vertAlign val="superscript"/>
        <sz val="11"/>
        <color rgb="FFFF0000"/>
        <rFont val="Calibri"/>
        <family val="2"/>
        <scheme val="minor"/>
      </rPr>
      <t>o</t>
    </r>
    <r>
      <rPr>
        <b/>
        <sz val="11"/>
        <color rgb="FFFF0000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)                                          EN 14825:2013 - Table 18 (ASHP) or Table 30 (GSHP)</t>
    </r>
  </si>
  <si>
    <t>#05 MCS logo added, % difference removed from declared kW at 45</t>
  </si>
  <si>
    <r>
      <t>Low (35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C)</t>
    </r>
  </si>
  <si>
    <t>Medium (45°C)</t>
  </si>
  <si>
    <t>High (55°C)</t>
  </si>
  <si>
    <t>Very High (65°C)</t>
  </si>
  <si>
    <t>Application temperature</t>
  </si>
  <si>
    <t>#06 Added graph of the SCOP figures to allow reading of mid points for MCS calculations</t>
  </si>
  <si>
    <t xml:space="preserve">Graph Data </t>
  </si>
  <si>
    <t>Flow Temperature</t>
  </si>
  <si>
    <t>#08 SCOP table added to ErP inputs tab</t>
  </si>
  <si>
    <r>
      <t>#09 Correction for 45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 data to include inputted data</t>
    </r>
  </si>
  <si>
    <t>System Design Flow Temperature</t>
  </si>
  <si>
    <t>System Seasonal Coefficient of Performance</t>
  </si>
  <si>
    <t>Temperature application references are taken from EN 14825 NOT ErP definitions</t>
  </si>
  <si>
    <t>This table is only to be completed in it entirety when performance data is supplied by the manufacturer at 45oC. Partial data is NOT to be accepted.</t>
  </si>
  <si>
    <r>
      <t>Crank Case Mode (P</t>
    </r>
    <r>
      <rPr>
        <b/>
        <vertAlign val="subscript"/>
        <sz val="11"/>
        <color theme="1"/>
        <rFont val="Calibri"/>
        <family val="2"/>
        <scheme val="minor"/>
      </rPr>
      <t>CK</t>
    </r>
    <r>
      <rPr>
        <b/>
        <sz val="11"/>
        <color theme="1"/>
        <rFont val="Calibri"/>
        <family val="2"/>
        <scheme val="minor"/>
      </rPr>
      <t>)</t>
    </r>
  </si>
  <si>
    <r>
      <t>Crankcase heater mode H</t>
    </r>
    <r>
      <rPr>
        <vertAlign val="subscript"/>
        <sz val="11"/>
        <color theme="1"/>
        <rFont val="Calibri"/>
        <family val="2"/>
        <scheme val="minor"/>
      </rPr>
      <t>CK</t>
    </r>
  </si>
  <si>
    <t>Table 1 Number of hours used for heating only - Average Climate</t>
  </si>
  <si>
    <r>
      <t>Crankcase heater power P</t>
    </r>
    <r>
      <rPr>
        <vertAlign val="subscript"/>
        <sz val="11"/>
        <color theme="1"/>
        <rFont val="Calibri"/>
        <family val="2"/>
        <scheme val="minor"/>
      </rPr>
      <t>CK</t>
    </r>
  </si>
  <si>
    <t xml:space="preserve">        Crankcase heater added</t>
  </si>
  <si>
    <r>
      <t>SCOP (equivalent to SPF</t>
    </r>
    <r>
      <rPr>
        <b/>
        <vertAlign val="subscript"/>
        <sz val="16"/>
        <rFont val="Calibri"/>
        <family val="2"/>
        <scheme val="minor"/>
      </rPr>
      <t>3</t>
    </r>
    <r>
      <rPr>
        <b/>
        <sz val="16"/>
        <rFont val="Calibri"/>
        <family val="2"/>
        <scheme val="minor"/>
      </rPr>
      <t xml:space="preserve"> SEPEMO SH only)</t>
    </r>
  </si>
  <si>
    <t>Rated Heat Output including the rated heat output of any supplementary heater under average climate conditions (kW)</t>
  </si>
  <si>
    <r>
      <t xml:space="preserve">Tbivalent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</t>
    </r>
  </si>
  <si>
    <r>
      <t xml:space="preserve">        Rated heat output added to specify capacity of HP and supplementary for property load at -10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</si>
  <si>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 xml:space="preserve">        Bivalent temperature added to calculation tabs and ErP Inputs tab</t>
  </si>
  <si>
    <r>
      <t xml:space="preserve">        System SCOP changed to SCOP (equivalent to SPF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SEPEMO SH only)</t>
    </r>
  </si>
  <si>
    <r>
      <t>#07 SCOP calculated at flow temperatures between 35 and 55, factor changed to 0.5 for 45</t>
    </r>
    <r>
      <rPr>
        <sz val="11"/>
        <rFont val="Calibri"/>
        <family val="2"/>
        <scheme val="minor"/>
      </rPr>
      <t xml:space="preserve"> conditions to give graph straight line as default. </t>
    </r>
  </si>
  <si>
    <r>
      <t xml:space="preserve">This calculator can only be used for calculating the </t>
    </r>
    <r>
      <rPr>
        <b/>
        <sz val="14"/>
        <color rgb="FFFF0000"/>
        <rFont val="Calibri"/>
        <family val="2"/>
        <scheme val="minor"/>
      </rPr>
      <t>Seasonal Space Heating Energy Efficiency</t>
    </r>
    <r>
      <rPr>
        <b/>
        <sz val="14"/>
        <color theme="1"/>
        <rFont val="Calibri"/>
        <family val="2"/>
        <scheme val="minor"/>
      </rPr>
      <t xml:space="preserve"> (SSHEE) and </t>
    </r>
    <r>
      <rPr>
        <b/>
        <sz val="14"/>
        <color rgb="FFFF0000"/>
        <rFont val="Calibri"/>
        <family val="2"/>
        <scheme val="minor"/>
      </rPr>
      <t xml:space="preserve">Seasonal Coefficient of Performance </t>
    </r>
    <r>
      <rPr>
        <b/>
        <sz val="14"/>
        <color theme="1"/>
        <rFont val="Calibri"/>
        <family val="2"/>
        <scheme val="minor"/>
      </rPr>
      <t>(SCOP) for Air to Water and Water / Brine to Water heat pumps under the average climate conditions defined by Commission Regulation (EU) No. 813/2013</t>
    </r>
  </si>
  <si>
    <t>Water Source</t>
  </si>
  <si>
    <r>
      <t>Has the manufacturer provided data to demonstrate that the heat pump can reach a flow temperature of 61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or greater at an inlet dry (wet) bulb temperature of -7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(-8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 xml:space="preserve">C) for ASHP </t>
    </r>
    <r>
      <rPr>
        <sz val="12"/>
        <color rgb="FFFF0000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Brine 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 xml:space="preserve">C for Ground Source </t>
    </r>
    <r>
      <rPr>
        <sz val="12"/>
        <color rgb="FFFF0000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Water 10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for Water Source Heat Pumps</t>
    </r>
  </si>
  <si>
    <t>Energy Label (Space Heater Only) to display SSHEE at</t>
  </si>
  <si>
    <t>#10 Selection menu changed on ErP Inputs to allow for Water Source heat pumps and GS &amp; WS VHTHPs</t>
  </si>
  <si>
    <t>Grace Davies 27/08/11</t>
  </si>
  <si>
    <r>
      <t>Has the manufacturer provided data to demonstrate that the heat pump can reach a flow temperature of 52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at Condition A according to the relevant product table within EN 14825 for the average climate and high temperature application?</t>
    </r>
  </si>
  <si>
    <r>
      <t>Flow Temperature (</t>
    </r>
    <r>
      <rPr>
        <b/>
        <vertAlign val="superscript"/>
        <sz val="12"/>
        <color theme="1"/>
        <rFont val="Calibri"/>
        <family val="2"/>
        <scheme val="minor"/>
      </rPr>
      <t>o</t>
    </r>
    <r>
      <rPr>
        <b/>
        <sz val="12"/>
        <color theme="1"/>
        <rFont val="Calibri"/>
        <family val="2"/>
        <scheme val="minor"/>
      </rPr>
      <t>C)</t>
    </r>
  </si>
  <si>
    <t>Cells highlighted red indicate at which flow temperature the Heat pump cannot achieve an SCOP of 2.5</t>
  </si>
  <si>
    <t xml:space="preserve">        SCOP amended to take account of the control and ground pump correction factors</t>
  </si>
  <si>
    <t xml:space="preserve"> E (TOL)</t>
  </si>
  <si>
    <t>Bin Temperature</t>
  </si>
  <si>
    <t>Outdoor heat exchanger</t>
  </si>
  <si>
    <t>#11 Bivalent temperature input removed from application temperature tabs</t>
  </si>
  <si>
    <t>#12 Table reference corrected for ASHP's</t>
  </si>
  <si>
    <t>#13 link to degradation coefficient for VHTHP corrected</t>
  </si>
  <si>
    <t>#14 Energy Efficiency class changed to onl go up to A++</t>
  </si>
  <si>
    <t>#15 Medium SCOP - Bivalent temperaure MIN value</t>
  </si>
  <si>
    <t>#16 Condition E (TOL) - Bin temperature</t>
  </si>
  <si>
    <t>#17 Low temperautre application class corrected</t>
  </si>
  <si>
    <t xml:space="preserve">#18 Medium temperautre input reference corrected on 'Medium SCOP' tab, calculator now allows for TOL to -7oC, </t>
  </si>
  <si>
    <r>
      <t>Air to Water heat pumps must be capable of working at a temperature of -7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>C or less</t>
    </r>
  </si>
  <si>
    <t>#19 Bivalent temperature correction, uses N/A instead of 0, Interpolation at 45 Prated, TOL check added for ASHPs</t>
  </si>
  <si>
    <t>MCS 026 - SCOP and SSHEE calculator</t>
  </si>
  <si>
    <t>This calculator can only be used for calculating the Seasonal Space Heating Energy Efficiency (SSHEE) and Seasonal Coefficient of Performance (SCOP) for Air to Water and Water / Brine to Water heat pumps under the average climate conditions defined by Commission Regulation (EU) No. 813/2013.</t>
  </si>
  <si>
    <t xml:space="preserve">MCS Certification Bodies may use the calculator when certifying products against the requirements of MCS 007 - (Product certification scheme requirements - Heat pumps). </t>
  </si>
  <si>
    <t xml:space="preserve">Data calculated in accordance with this calculator will be published within the product search section of the MCS database. Please visit http://www.microgenerationcertification.org/ </t>
  </si>
  <si>
    <t>The calculator is designed for use as an Microsoft Excel Macro-Enabled workbook.</t>
  </si>
  <si>
    <t>AMENDMENTS SINCE PUBLICATION</t>
  </si>
  <si>
    <t>Date</t>
  </si>
  <si>
    <t>Issue</t>
  </si>
  <si>
    <t>Notes</t>
  </si>
  <si>
    <t>First version published</t>
  </si>
  <si>
    <t>Correction Factor F(i)</t>
  </si>
  <si>
    <t>Bivalent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</si>
</sst>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vertAlign val="superscript"/>
      <sz val="14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8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9" fillId="0" borderId="0"/>
    <xf numFmtId="0" fontId="15" fillId="0" borderId="0"/>
    <xf numFmtId="0" fontId="45" fillId="0" borderId="0">
      <protection locked="0"/>
    </xf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8" fillId="7" borderId="0" xfId="0" applyFont="1" applyFill="1"/>
    <xf numFmtId="0" fontId="6" fillId="7" borderId="0" xfId="0" applyFont="1" applyFill="1"/>
    <xf numFmtId="0" fontId="35" fillId="3" borderId="4" xfId="0" applyFon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Protection="1">
      <protection locked="0"/>
    </xf>
    <xf numFmtId="0" fontId="33" fillId="3" borderId="10" xfId="0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37" xfId="0" applyNumberFormat="1" applyFill="1" applyBorder="1" applyProtection="1">
      <protection locked="0"/>
    </xf>
    <xf numFmtId="2" fontId="0" fillId="3" borderId="36" xfId="0" applyNumberFormat="1" applyFill="1" applyBorder="1" applyProtection="1">
      <protection locked="0"/>
    </xf>
    <xf numFmtId="2" fontId="0" fillId="3" borderId="40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42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66" fontId="0" fillId="3" borderId="36" xfId="0" applyNumberFormat="1" applyFill="1" applyBorder="1" applyProtection="1">
      <protection locked="0"/>
    </xf>
    <xf numFmtId="166" fontId="0" fillId="3" borderId="36" xfId="0" applyNumberFormat="1" applyFill="1" applyBorder="1" applyAlignment="1" applyProtection="1">
      <alignment horizontal="right"/>
      <protection locked="0"/>
    </xf>
    <xf numFmtId="166" fontId="0" fillId="3" borderId="17" xfId="0" applyNumberFormat="1" applyFill="1" applyBorder="1" applyProtection="1">
      <protection locked="0"/>
    </xf>
    <xf numFmtId="0" fontId="15" fillId="8" borderId="0" xfId="3" applyFill="1"/>
    <xf numFmtId="0" fontId="15" fillId="6" borderId="0" xfId="3" applyFill="1"/>
    <xf numFmtId="0" fontId="45" fillId="0" borderId="0" xfId="4">
      <protection locked="0"/>
    </xf>
    <xf numFmtId="0" fontId="14" fillId="8" borderId="0" xfId="3" applyFont="1" applyFill="1"/>
    <xf numFmtId="0" fontId="15" fillId="8" borderId="0" xfId="3" applyFill="1" applyAlignment="1">
      <alignment wrapText="1"/>
    </xf>
    <xf numFmtId="0" fontId="46" fillId="0" borderId="0" xfId="4" applyFont="1">
      <protection locked="0"/>
    </xf>
    <xf numFmtId="0" fontId="46" fillId="0" borderId="1" xfId="4" applyFont="1" applyBorder="1">
      <protection locked="0"/>
    </xf>
    <xf numFmtId="14" fontId="45" fillId="0" borderId="1" xfId="4" applyNumberFormat="1" applyBorder="1">
      <protection locked="0"/>
    </xf>
    <xf numFmtId="166" fontId="45" fillId="0" borderId="1" xfId="4" applyNumberFormat="1" applyBorder="1">
      <protection locked="0"/>
    </xf>
    <xf numFmtId="0" fontId="9" fillId="0" borderId="1" xfId="4" applyFont="1" applyBorder="1">
      <protection locked="0"/>
    </xf>
    <xf numFmtId="0" fontId="45" fillId="0" borderId="1" xfId="4" applyBorder="1" applyAlignment="1">
      <alignment wrapText="1"/>
      <protection locked="0"/>
    </xf>
    <xf numFmtId="14" fontId="9" fillId="0" borderId="1" xfId="4" applyNumberFormat="1" applyFont="1" applyBorder="1">
      <protection locked="0"/>
    </xf>
    <xf numFmtId="0" fontId="45" fillId="0" borderId="1" xfId="4" applyBorder="1"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13" fillId="4" borderId="0" xfId="0" applyFont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6" borderId="1" xfId="0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30" fillId="5" borderId="1" xfId="0" applyFont="1" applyFill="1" applyBorder="1" applyAlignment="1">
      <alignment horizontal="center"/>
    </xf>
    <xf numFmtId="0" fontId="16" fillId="4" borderId="0" xfId="0" quotePrefix="1" applyFont="1" applyFill="1"/>
    <xf numFmtId="1" fontId="0" fillId="4" borderId="0" xfId="0" applyNumberFormat="1" applyFill="1" applyAlignment="1">
      <alignment horizontal="center"/>
    </xf>
    <xf numFmtId="0" fontId="8" fillId="4" borderId="0" xfId="0" applyFont="1" applyFill="1"/>
    <xf numFmtId="0" fontId="21" fillId="4" borderId="0" xfId="0" applyFont="1" applyFill="1"/>
    <xf numFmtId="2" fontId="21" fillId="4" borderId="0" xfId="0" applyNumberFormat="1" applyFont="1" applyFill="1" applyAlignment="1">
      <alignment horizontal="center"/>
    </xf>
    <xf numFmtId="0" fontId="16" fillId="4" borderId="0" xfId="0" applyFont="1" applyFill="1"/>
    <xf numFmtId="0" fontId="14" fillId="4" borderId="0" xfId="0" applyFont="1" applyFill="1" applyAlignment="1">
      <alignment horizontal="center"/>
    </xf>
    <xf numFmtId="0" fontId="10" fillId="2" borderId="16" xfId="0" applyFont="1" applyFill="1" applyBorder="1"/>
    <xf numFmtId="164" fontId="10" fillId="2" borderId="12" xfId="0" applyNumberFormat="1" applyFont="1" applyFill="1" applyBorder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6" borderId="14" xfId="0" applyFill="1" applyBorder="1"/>
    <xf numFmtId="0" fontId="0" fillId="6" borderId="15" xfId="0" applyFill="1" applyBorder="1"/>
    <xf numFmtId="0" fontId="0" fillId="6" borderId="15" xfId="0" applyFill="1" applyBorder="1" applyAlignment="1">
      <alignment horizontal="center"/>
    </xf>
    <xf numFmtId="0" fontId="0" fillId="6" borderId="11" xfId="0" applyFill="1" applyBorder="1"/>
    <xf numFmtId="2" fontId="0" fillId="4" borderId="0" xfId="0" applyNumberFormat="1" applyFill="1"/>
    <xf numFmtId="0" fontId="0" fillId="6" borderId="1" xfId="0" applyFill="1" applyBorder="1" applyAlignment="1">
      <alignment horizontal="center" wrapText="1"/>
    </xf>
    <xf numFmtId="2" fontId="0" fillId="4" borderId="12" xfId="0" applyNumberFormat="1" applyFill="1" applyBorder="1" applyAlignment="1">
      <alignment horizontal="center"/>
    </xf>
    <xf numFmtId="165" fontId="0" fillId="5" borderId="1" xfId="1" applyNumberFormat="1" applyFont="1" applyFill="1" applyBorder="1" applyAlignment="1" applyProtection="1">
      <alignment horizontal="center"/>
    </xf>
    <xf numFmtId="0" fontId="11" fillId="2" borderId="1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" fontId="0" fillId="2" borderId="12" xfId="0" applyNumberForma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65" fontId="8" fillId="4" borderId="0" xfId="1" applyNumberFormat="1" applyFont="1" applyFill="1" applyBorder="1" applyAlignment="1" applyProtection="1">
      <alignment horizontal="center"/>
    </xf>
    <xf numFmtId="2" fontId="8" fillId="4" borderId="0" xfId="0" applyNumberFormat="1" applyFont="1" applyFill="1" applyAlignment="1">
      <alignment horizontal="center"/>
    </xf>
    <xf numFmtId="0" fontId="0" fillId="2" borderId="16" xfId="0" applyFill="1" applyBorder="1"/>
    <xf numFmtId="2" fontId="0" fillId="2" borderId="12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1" fontId="8" fillId="4" borderId="0" xfId="0" applyNumberFormat="1" applyFont="1" applyFill="1"/>
    <xf numFmtId="0" fontId="33" fillId="4" borderId="0" xfId="0" applyFont="1" applyFill="1"/>
    <xf numFmtId="164" fontId="8" fillId="4" borderId="0" xfId="0" applyNumberFormat="1" applyFont="1" applyFill="1"/>
    <xf numFmtId="164" fontId="0" fillId="2" borderId="12" xfId="0" applyNumberFormat="1" applyFill="1" applyBorder="1" applyAlignment="1">
      <alignment horizontal="center"/>
    </xf>
    <xf numFmtId="0" fontId="42" fillId="4" borderId="0" xfId="0" applyFont="1" applyFill="1"/>
    <xf numFmtId="0" fontId="0" fillId="2" borderId="0" xfId="0" applyFill="1"/>
    <xf numFmtId="0" fontId="20" fillId="4" borderId="0" xfId="0" applyFont="1" applyFill="1"/>
    <xf numFmtId="0" fontId="0" fillId="4" borderId="0" xfId="0" applyFill="1" applyAlignment="1">
      <alignment horizontal="left"/>
    </xf>
    <xf numFmtId="0" fontId="15" fillId="4" borderId="0" xfId="0" applyFont="1" applyFill="1"/>
    <xf numFmtId="0" fontId="18" fillId="4" borderId="0" xfId="0" applyFont="1" applyFill="1" applyAlignment="1">
      <alignment horizontal="right"/>
    </xf>
    <xf numFmtId="0" fontId="15" fillId="4" borderId="14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3" borderId="0" xfId="0" applyFont="1" applyFill="1"/>
    <xf numFmtId="0" fontId="0" fillId="5" borderId="0" xfId="0" applyFill="1"/>
    <xf numFmtId="0" fontId="15" fillId="4" borderId="14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vertical="center"/>
    </xf>
    <xf numFmtId="0" fontId="18" fillId="5" borderId="14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 wrapText="1"/>
    </xf>
    <xf numFmtId="0" fontId="18" fillId="5" borderId="11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right"/>
    </xf>
    <xf numFmtId="0" fontId="15" fillId="4" borderId="0" xfId="0" quotePrefix="1" applyFont="1" applyFill="1"/>
    <xf numFmtId="0" fontId="35" fillId="3" borderId="5" xfId="0" applyFont="1" applyFill="1" applyBorder="1" applyAlignment="1">
      <alignment horizontal="right"/>
    </xf>
    <xf numFmtId="0" fontId="35" fillId="3" borderId="5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0" fillId="4" borderId="2" xfId="0" applyFill="1" applyBorder="1"/>
    <xf numFmtId="0" fontId="0" fillId="4" borderId="19" xfId="0" quotePrefix="1" applyFill="1" applyBorder="1" applyAlignment="1">
      <alignment horizontal="right"/>
    </xf>
    <xf numFmtId="0" fontId="0" fillId="4" borderId="22" xfId="0" applyFill="1" applyBorder="1" applyAlignment="1">
      <alignment horizontal="left"/>
    </xf>
    <xf numFmtId="0" fontId="0" fillId="4" borderId="41" xfId="0" quotePrefix="1" applyFill="1" applyBorder="1" applyAlignment="1">
      <alignment horizontal="right"/>
    </xf>
    <xf numFmtId="0" fontId="0" fillId="4" borderId="0" xfId="0" quotePrefix="1" applyFill="1" applyAlignment="1">
      <alignment horizontal="right"/>
    </xf>
    <xf numFmtId="0" fontId="0" fillId="4" borderId="36" xfId="0" applyFill="1" applyBorder="1" applyAlignment="1">
      <alignment horizontal="center"/>
    </xf>
    <xf numFmtId="166" fontId="0" fillId="3" borderId="39" xfId="0" applyNumberFormat="1" applyFill="1" applyBorder="1"/>
    <xf numFmtId="2" fontId="0" fillId="3" borderId="39" xfId="0" applyNumberFormat="1" applyFill="1" applyBorder="1"/>
    <xf numFmtId="0" fontId="6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0" fillId="4" borderId="17" xfId="0" applyFill="1" applyBorder="1" applyAlignment="1">
      <alignment horizontal="center"/>
    </xf>
    <xf numFmtId="2" fontId="0" fillId="3" borderId="18" xfId="0" applyNumberFormat="1" applyFill="1" applyBorder="1"/>
    <xf numFmtId="0" fontId="32" fillId="4" borderId="0" xfId="0" applyFont="1" applyFill="1"/>
    <xf numFmtId="0" fontId="0" fillId="4" borderId="4" xfId="0" applyFill="1" applyBorder="1" applyAlignment="1">
      <alignment horizontal="center"/>
    </xf>
    <xf numFmtId="0" fontId="0" fillId="3" borderId="38" xfId="0" applyFill="1" applyBorder="1"/>
    <xf numFmtId="0" fontId="20" fillId="4" borderId="0" xfId="0" applyFont="1" applyFill="1" applyAlignment="1">
      <alignment horizontal="center"/>
    </xf>
    <xf numFmtId="0" fontId="0" fillId="4" borderId="3" xfId="0" applyFill="1" applyBorder="1"/>
    <xf numFmtId="0" fontId="6" fillId="4" borderId="0" xfId="0" applyFont="1" applyFill="1"/>
    <xf numFmtId="166" fontId="0" fillId="3" borderId="18" xfId="0" applyNumberFormat="1" applyFill="1" applyBorder="1"/>
    <xf numFmtId="0" fontId="10" fillId="4" borderId="1" xfId="0" applyFont="1" applyFill="1" applyBorder="1"/>
    <xf numFmtId="0" fontId="24" fillId="4" borderId="0" xfId="0" applyFont="1" applyFill="1"/>
    <xf numFmtId="0" fontId="0" fillId="4" borderId="6" xfId="0" applyFill="1" applyBorder="1"/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center"/>
    </xf>
    <xf numFmtId="2" fontId="0" fillId="3" borderId="40" xfId="0" applyNumberFormat="1" applyFill="1" applyBorder="1"/>
    <xf numFmtId="0" fontId="6" fillId="4" borderId="0" xfId="0" applyFont="1" applyFill="1" applyAlignment="1">
      <alignment vertical="center" wrapText="1"/>
    </xf>
    <xf numFmtId="0" fontId="0" fillId="4" borderId="13" xfId="0" applyFill="1" applyBorder="1" applyAlignment="1">
      <alignment horizontal="center"/>
    </xf>
    <xf numFmtId="2" fontId="0" fillId="3" borderId="15" xfId="0" applyNumberFormat="1" applyFill="1" applyBorder="1"/>
    <xf numFmtId="0" fontId="0" fillId="4" borderId="8" xfId="0" applyFill="1" applyBorder="1" applyAlignment="1">
      <alignment horizontal="center"/>
    </xf>
    <xf numFmtId="0" fontId="0" fillId="3" borderId="5" xfId="0" applyFill="1" applyBorder="1"/>
    <xf numFmtId="0" fontId="0" fillId="3" borderId="42" xfId="0" applyFill="1" applyBorder="1"/>
    <xf numFmtId="0" fontId="25" fillId="4" borderId="0" xfId="0" applyFont="1" applyFill="1" applyAlignment="1">
      <alignment vertical="center" wrapText="1"/>
    </xf>
    <xf numFmtId="0" fontId="26" fillId="4" borderId="0" xfId="0" applyFont="1" applyFill="1"/>
    <xf numFmtId="0" fontId="10" fillId="4" borderId="1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2" fontId="0" fillId="5" borderId="14" xfId="0" applyNumberFormat="1" applyFill="1" applyBorder="1" applyAlignment="1">
      <alignment horizontal="center"/>
    </xf>
    <xf numFmtId="0" fontId="36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left"/>
    </xf>
    <xf numFmtId="2" fontId="19" fillId="4" borderId="0" xfId="0" applyNumberFormat="1" applyFont="1" applyFill="1"/>
    <xf numFmtId="0" fontId="8" fillId="4" borderId="0" xfId="0" applyFont="1" applyFill="1" applyAlignment="1">
      <alignment horizontal="left"/>
    </xf>
    <xf numFmtId="0" fontId="33" fillId="4" borderId="0" xfId="0" applyFont="1" applyFill="1" applyAlignment="1">
      <alignment horizontal="right"/>
    </xf>
    <xf numFmtId="2" fontId="33" fillId="5" borderId="10" xfId="0" applyNumberFormat="1" applyFont="1" applyFill="1" applyBorder="1" applyAlignment="1">
      <alignment horizontal="center"/>
    </xf>
    <xf numFmtId="0" fontId="34" fillId="4" borderId="29" xfId="0" applyFont="1" applyFill="1" applyBorder="1" applyAlignment="1">
      <alignment horizontal="center"/>
    </xf>
    <xf numFmtId="0" fontId="34" fillId="4" borderId="30" xfId="0" applyFont="1" applyFill="1" applyBorder="1" applyAlignment="1">
      <alignment horizontal="center" wrapText="1"/>
    </xf>
    <xf numFmtId="2" fontId="8" fillId="4" borderId="0" xfId="0" applyNumberFormat="1" applyFont="1" applyFill="1"/>
    <xf numFmtId="0" fontId="35" fillId="4" borderId="27" xfId="0" applyFont="1" applyFill="1" applyBorder="1" applyAlignment="1">
      <alignment horizontal="center"/>
    </xf>
    <xf numFmtId="2" fontId="8" fillId="4" borderId="28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/>
    </xf>
    <xf numFmtId="2" fontId="8" fillId="4" borderId="24" xfId="0" applyNumberFormat="1" applyFont="1" applyFill="1" applyBorder="1" applyAlignment="1">
      <alignment horizontal="center"/>
    </xf>
    <xf numFmtId="0" fontId="35" fillId="4" borderId="25" xfId="0" applyFont="1" applyFill="1" applyBorder="1" applyAlignment="1">
      <alignment horizontal="center"/>
    </xf>
    <xf numFmtId="2" fontId="8" fillId="4" borderId="26" xfId="0" applyNumberFormat="1" applyFont="1" applyFill="1" applyBorder="1" applyAlignment="1">
      <alignment horizontal="center"/>
    </xf>
    <xf numFmtId="0" fontId="15" fillId="8" borderId="0" xfId="3" applyFill="1" applyAlignment="1">
      <alignment wrapText="1"/>
    </xf>
    <xf numFmtId="0" fontId="10" fillId="4" borderId="14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1" fontId="0" fillId="5" borderId="14" xfId="0" applyNumberForma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12" fillId="4" borderId="21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40" fillId="4" borderId="0" xfId="0" applyFont="1" applyFill="1" applyAlignment="1">
      <alignment horizontal="center" wrapText="1"/>
    </xf>
    <xf numFmtId="0" fontId="40" fillId="4" borderId="35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Seasonal</a:t>
            </a:r>
            <a:r>
              <a:rPr lang="en-GB" sz="1400" baseline="0"/>
              <a:t> Performance</a:t>
            </a:r>
            <a:endParaRPr lang="en-GB" sz="14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'ErP Inputs'!$F$55:$F$56</c:f>
              <c:numCache>
                <c:formatCode>General</c:formatCode>
                <c:ptCount val="2"/>
                <c:pt idx="0">
                  <c:v>35</c:v>
                </c:pt>
                <c:pt idx="1">
                  <c:v>45</c:v>
                </c:pt>
              </c:numCache>
            </c:numRef>
          </c:xVal>
          <c:yVal>
            <c:numRef>
              <c:f>'ErP Inputs'!$G$55:$G$56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45-48A9-B01F-B5F2CD09F0AF}"/>
            </c:ext>
          </c:extLst>
        </c:ser>
        <c:ser>
          <c:idx val="2"/>
          <c:order val="1"/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'ErP Inputs'!$F$56:$F$57</c:f>
              <c:numCache>
                <c:formatCode>General</c:formatCode>
                <c:ptCount val="2"/>
                <c:pt idx="0">
                  <c:v>45</c:v>
                </c:pt>
                <c:pt idx="1">
                  <c:v>55</c:v>
                </c:pt>
              </c:numCache>
            </c:numRef>
          </c:xVal>
          <c:yVal>
            <c:numRef>
              <c:f>'ErP Inputs'!$G$56:$G$57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45-48A9-B01F-B5F2CD09F0AF}"/>
            </c:ext>
          </c:extLst>
        </c:ser>
        <c:ser>
          <c:idx val="3"/>
          <c:order val="2"/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'ErP Inputs'!$F$59:$F$60</c:f>
              <c:numCache>
                <c:formatCode>General</c:formatCode>
                <c:ptCount val="2"/>
                <c:pt idx="0">
                  <c:v>55</c:v>
                </c:pt>
                <c:pt idx="1">
                  <c:v>65</c:v>
                </c:pt>
              </c:numCache>
            </c:numRef>
          </c:xVal>
          <c:yVal>
            <c:numRef>
              <c:f>'ErP Inputs'!$G$59:$G$60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45-48A9-B01F-B5F2CD09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85808"/>
        <c:axId val="175106664"/>
      </c:scatterChart>
      <c:valAx>
        <c:axId val="173985808"/>
        <c:scaling>
          <c:orientation val="minMax"/>
          <c:max val="65"/>
          <c:min val="3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Application</a:t>
                </a:r>
                <a:r>
                  <a:rPr lang="en-GB" baseline="0"/>
                  <a:t> Flow Temperature (</a:t>
                </a:r>
                <a:r>
                  <a:rPr lang="en-GB" baseline="0">
                    <a:latin typeface="Calibri"/>
                  </a:rPr>
                  <a:t>°</a:t>
                </a:r>
                <a:r>
                  <a:rPr lang="en-GB" baseline="0"/>
                  <a:t>C)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106664"/>
        <c:crosses val="autoZero"/>
        <c:crossBetween val="midCat"/>
      </c:valAx>
      <c:valAx>
        <c:axId val="175106664"/>
        <c:scaling>
          <c:orientation val="minMax"/>
          <c:min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Seasonal</a:t>
                </a:r>
                <a:r>
                  <a:rPr lang="en-GB" baseline="0"/>
                  <a:t> Coefficient of Performance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39858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3279965004374479E-2"/>
          <c:y val="0.13496818259168189"/>
          <c:w val="0.89276924759405074"/>
          <c:h val="0.76742434920929381"/>
        </c:manualLayout>
      </c:layout>
      <c:lineChart>
        <c:grouping val="standard"/>
        <c:varyColors val="0"/>
        <c:ser>
          <c:idx val="1"/>
          <c:order val="0"/>
          <c:tx>
            <c:strRef>
              <c:f>'LOW SCOP'!$I$28</c:f>
              <c:strCache>
                <c:ptCount val="1"/>
                <c:pt idx="0">
                  <c:v>Heat Pump Capacity</c:v>
                </c:pt>
              </c:strCache>
            </c:strRef>
          </c:tx>
          <c:marker>
            <c:symbol val="none"/>
          </c:marker>
          <c:cat>
            <c:numRef>
              <c:f>'LOW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'LOW SCOP'!$I$31:$I$56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A39-8FE3-7905BDDD2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971160"/>
        <c:axId val="173943720"/>
      </c:lineChart>
      <c:catAx>
        <c:axId val="17397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943720"/>
        <c:crosses val="autoZero"/>
        <c:auto val="1"/>
        <c:lblAlgn val="ctr"/>
        <c:lblOffset val="100"/>
        <c:noMultiLvlLbl val="0"/>
      </c:catAx>
      <c:valAx>
        <c:axId val="1739437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3971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COP</a:t>
            </a:r>
            <a:r>
              <a:rPr lang="en-GB" baseline="-25000"/>
              <a:t>PL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'LOW SCOP'!$M$28</c:f>
              <c:strCache>
                <c:ptCount val="1"/>
                <c:pt idx="0">
                  <c:v>COPPL</c:v>
                </c:pt>
              </c:strCache>
            </c:strRef>
          </c:tx>
          <c:marker>
            <c:symbol val="none"/>
          </c:marker>
          <c:cat>
            <c:numRef>
              <c:f>'LOW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'LOW SCOP'!$M$31:$M$56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F-405C-B1BA-091EE1BD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55584"/>
        <c:axId val="175455968"/>
      </c:lineChart>
      <c:catAx>
        <c:axId val="175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455968"/>
        <c:crosses val="autoZero"/>
        <c:auto val="1"/>
        <c:lblAlgn val="ctr"/>
        <c:lblOffset val="100"/>
        <c:noMultiLvlLbl val="0"/>
      </c:catAx>
      <c:valAx>
        <c:axId val="1754559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545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3279965004374479E-2"/>
          <c:y val="0.13496818259168189"/>
          <c:w val="0.89276924759405074"/>
          <c:h val="0.76742434920929381"/>
        </c:manualLayout>
      </c:layout>
      <c:lineChart>
        <c:grouping val="standard"/>
        <c:varyColors val="0"/>
        <c:ser>
          <c:idx val="1"/>
          <c:order val="0"/>
          <c:tx>
            <c:strRef>
              <c:f>'MEDIUM SCOP'!$I$28</c:f>
              <c:strCache>
                <c:ptCount val="1"/>
                <c:pt idx="0">
                  <c:v>Heat Pump Capacity</c:v>
                </c:pt>
              </c:strCache>
            </c:strRef>
          </c:tx>
          <c:marker>
            <c:symbol val="none"/>
          </c:marker>
          <c:cat>
            <c:numRef>
              <c:f>'MEDIUM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'MEDIUM SCOP'!$I$31:$I$56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B-4644-B365-A6893F38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853472"/>
        <c:axId val="175201976"/>
      </c:lineChart>
      <c:catAx>
        <c:axId val="1748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201976"/>
        <c:crosses val="autoZero"/>
        <c:auto val="1"/>
        <c:lblAlgn val="ctr"/>
        <c:lblOffset val="100"/>
        <c:noMultiLvlLbl val="0"/>
      </c:catAx>
      <c:valAx>
        <c:axId val="1752019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485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COP</a:t>
            </a:r>
            <a:r>
              <a:rPr lang="en-GB" baseline="-25000"/>
              <a:t>PL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'MEDIUM SCOP'!$M$28</c:f>
              <c:strCache>
                <c:ptCount val="1"/>
                <c:pt idx="0">
                  <c:v>COPPL</c:v>
                </c:pt>
              </c:strCache>
            </c:strRef>
          </c:tx>
          <c:marker>
            <c:symbol val="none"/>
          </c:marker>
          <c:cat>
            <c:numRef>
              <c:f>'MEDIUM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'MEDIUM SCOP'!$M$31:$M$56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E-45BD-BC4E-B06F47CD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78504"/>
        <c:axId val="172840888"/>
      </c:lineChart>
      <c:catAx>
        <c:axId val="175378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840888"/>
        <c:crosses val="autoZero"/>
        <c:auto val="1"/>
        <c:lblAlgn val="ctr"/>
        <c:lblOffset val="100"/>
        <c:noMultiLvlLbl val="0"/>
      </c:catAx>
      <c:valAx>
        <c:axId val="172840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5378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3279965004374479E-2"/>
          <c:y val="0.13496818259168189"/>
          <c:w val="0.89276924759405074"/>
          <c:h val="0.76742434920929381"/>
        </c:manualLayout>
      </c:layout>
      <c:lineChart>
        <c:grouping val="standard"/>
        <c:varyColors val="0"/>
        <c:ser>
          <c:idx val="1"/>
          <c:order val="0"/>
          <c:tx>
            <c:strRef>
              <c:f>'HIGH SCOP'!$I$28</c:f>
              <c:strCache>
                <c:ptCount val="1"/>
                <c:pt idx="0">
                  <c:v>Heat Pump Capacity</c:v>
                </c:pt>
              </c:strCache>
            </c:strRef>
          </c:tx>
          <c:marker>
            <c:symbol val="none"/>
          </c:marker>
          <c:cat>
            <c:numRef>
              <c:f>'HIGH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'HIGH SCOP'!$I$31:$I$56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4-46EB-A8BB-DF96B8C3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00976"/>
        <c:axId val="174901368"/>
      </c:lineChart>
      <c:catAx>
        <c:axId val="1749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01368"/>
        <c:crosses val="autoZero"/>
        <c:auto val="1"/>
        <c:lblAlgn val="ctr"/>
        <c:lblOffset val="100"/>
        <c:noMultiLvlLbl val="0"/>
      </c:catAx>
      <c:valAx>
        <c:axId val="174901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490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COP</a:t>
            </a:r>
            <a:r>
              <a:rPr lang="en-GB" baseline="-25000"/>
              <a:t>PL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'HIGH SCOP'!$M$28</c:f>
              <c:strCache>
                <c:ptCount val="1"/>
                <c:pt idx="0">
                  <c:v>COPPL</c:v>
                </c:pt>
              </c:strCache>
            </c:strRef>
          </c:tx>
          <c:marker>
            <c:symbol val="none"/>
          </c:marker>
          <c:cat>
            <c:numRef>
              <c:f>'HIGH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'HIGH SCOP'!$M$31:$M$56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D-4C30-8F02-8703F0617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02152"/>
        <c:axId val="174902544"/>
      </c:lineChart>
      <c:catAx>
        <c:axId val="17490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02544"/>
        <c:crosses val="autoZero"/>
        <c:auto val="1"/>
        <c:lblAlgn val="ctr"/>
        <c:lblOffset val="100"/>
        <c:noMultiLvlLbl val="0"/>
      </c:catAx>
      <c:valAx>
        <c:axId val="1749025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4902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3279965004374479E-2"/>
          <c:y val="0.13496818259168189"/>
          <c:w val="0.89276924759405074"/>
          <c:h val="0.76742434920929381"/>
        </c:manualLayout>
      </c:layout>
      <c:lineChart>
        <c:grouping val="standard"/>
        <c:varyColors val="0"/>
        <c:ser>
          <c:idx val="1"/>
          <c:order val="0"/>
          <c:tx>
            <c:strRef>
              <c:f>'VERY HIGH SCOP'!$I$28</c:f>
              <c:strCache>
                <c:ptCount val="1"/>
                <c:pt idx="0">
                  <c:v>Heat Pump Capacity</c:v>
                </c:pt>
              </c:strCache>
            </c:strRef>
          </c:tx>
          <c:marker>
            <c:symbol val="none"/>
          </c:marker>
          <c:cat>
            <c:numRef>
              <c:f>'VERY HIGH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'VERY HIGH SCOP'!$I$31:$I$56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1-47E2-A605-08AC4BB9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00584"/>
        <c:axId val="174903328"/>
      </c:lineChart>
      <c:catAx>
        <c:axId val="17490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03328"/>
        <c:crosses val="autoZero"/>
        <c:auto val="1"/>
        <c:lblAlgn val="ctr"/>
        <c:lblOffset val="100"/>
        <c:noMultiLvlLbl val="0"/>
      </c:catAx>
      <c:valAx>
        <c:axId val="1749033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4900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COP</a:t>
            </a:r>
            <a:r>
              <a:rPr lang="en-GB" baseline="-25000"/>
              <a:t>PL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'VERY HIGH SCOP'!$M$28</c:f>
              <c:strCache>
                <c:ptCount val="1"/>
                <c:pt idx="0">
                  <c:v>COPPL</c:v>
                </c:pt>
              </c:strCache>
            </c:strRef>
          </c:tx>
          <c:marker>
            <c:symbol val="none"/>
          </c:marker>
          <c:cat>
            <c:numRef>
              <c:f>'VERY HIGH SCOP'!$D$31:$D$56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cat>
          <c:val>
            <c:numRef>
              <c:f>'VERY HIGH SCOP'!$M$31:$M$56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FCA-B6C7-116C051D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00192"/>
        <c:axId val="172842848"/>
      </c:lineChart>
      <c:catAx>
        <c:axId val="1749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842848"/>
        <c:crosses val="autoZero"/>
        <c:auto val="1"/>
        <c:lblAlgn val="ctr"/>
        <c:lblOffset val="100"/>
        <c:noMultiLvlLbl val="0"/>
      </c:catAx>
      <c:valAx>
        <c:axId val="1728428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490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3000375</xdr:colOff>
      <xdr:row>0</xdr:row>
      <xdr:rowOff>142875</xdr:rowOff>
    </xdr:from>
    <xdr:to>
      <xdr:col>5</xdr:col>
      <xdr:colOff>314325</xdr:colOff>
      <xdr:row>6</xdr:row>
      <xdr:rowOff>47625</xdr:rowOff>
    </xdr:to>
    <xdr:pic>
      <xdr:nvPicPr>
        <xdr:cNvPr id="2" name="Picture 1" descr="New-Logo-with-Strapl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6655" y="142875"/>
          <a:ext cx="102489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</xdr:row>
      <xdr:rowOff>12640</xdr:rowOff>
    </xdr:from>
    <xdr:to>
      <xdr:col>9</xdr:col>
      <xdr:colOff>154781</xdr:colOff>
      <xdr:row>6</xdr:row>
      <xdr:rowOff>752430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44" y="929421"/>
          <a:ext cx="2131218" cy="2370947"/>
        </a:xfrm>
        <a:prstGeom prst="rect">
          <a:avLst/>
        </a:prstGeom>
      </xdr:spPr>
    </xdr:pic>
    <xdr:clientData/>
  </xdr:twoCellAnchor>
  <xdr:twoCellAnchor>
    <xdr:from>
      <xdr:col>4</xdr:col>
      <xdr:colOff>404810</xdr:colOff>
      <xdr:row>53</xdr:row>
      <xdr:rowOff>146445</xdr:rowOff>
    </xdr:from>
    <xdr:to>
      <xdr:col>22</xdr:col>
      <xdr:colOff>261937</xdr:colOff>
      <xdr:row>71</xdr:row>
      <xdr:rowOff>35719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547688</xdr:colOff>
      <xdr:row>60</xdr:row>
      <xdr:rowOff>71436</xdr:rowOff>
    </xdr:from>
    <xdr:to>
      <xdr:col>7</xdr:col>
      <xdr:colOff>559594</xdr:colOff>
      <xdr:row>74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345282</xdr:colOff>
      <xdr:row>60</xdr:row>
      <xdr:rowOff>95250</xdr:rowOff>
    </xdr:from>
    <xdr:to>
      <xdr:col>12</xdr:col>
      <xdr:colOff>833438</xdr:colOff>
      <xdr:row>74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404813</xdr:colOff>
      <xdr:row>7</xdr:row>
      <xdr:rowOff>95251</xdr:rowOff>
    </xdr:from>
    <xdr:to>
      <xdr:col>13</xdr:col>
      <xdr:colOff>2393157</xdr:colOff>
      <xdr:row>10</xdr:row>
      <xdr:rowOff>16670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7063" y="1666876"/>
          <a:ext cx="607218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1</xdr:row>
      <xdr:rowOff>114300</xdr:rowOff>
    </xdr:from>
    <xdr:to>
      <xdr:col>6</xdr:col>
      <xdr:colOff>369093</xdr:colOff>
      <xdr:row>10</xdr:row>
      <xdr:rowOff>150019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295275"/>
          <a:ext cx="1981200" cy="2028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71438</xdr:colOff>
      <xdr:row>60</xdr:row>
      <xdr:rowOff>59530</xdr:rowOff>
    </xdr:from>
    <xdr:to>
      <xdr:col>7</xdr:col>
      <xdr:colOff>83344</xdr:colOff>
      <xdr:row>74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345282</xdr:colOff>
      <xdr:row>60</xdr:row>
      <xdr:rowOff>95250</xdr:rowOff>
    </xdr:from>
    <xdr:to>
      <xdr:col>12</xdr:col>
      <xdr:colOff>833438</xdr:colOff>
      <xdr:row>74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440531</xdr:colOff>
      <xdr:row>7</xdr:row>
      <xdr:rowOff>95251</xdr:rowOff>
    </xdr:from>
    <xdr:to>
      <xdr:col>14</xdr:col>
      <xdr:colOff>11906</xdr:colOff>
      <xdr:row>10</xdr:row>
      <xdr:rowOff>16670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2781" y="1643064"/>
          <a:ext cx="607218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876300</xdr:colOff>
      <xdr:row>2</xdr:row>
      <xdr:rowOff>9525</xdr:rowOff>
    </xdr:from>
    <xdr:to>
      <xdr:col>6</xdr:col>
      <xdr:colOff>511968</xdr:colOff>
      <xdr:row>10</xdr:row>
      <xdr:rowOff>247650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371475"/>
          <a:ext cx="1981200" cy="2028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71438</xdr:colOff>
      <xdr:row>60</xdr:row>
      <xdr:rowOff>59530</xdr:rowOff>
    </xdr:from>
    <xdr:to>
      <xdr:col>7</xdr:col>
      <xdr:colOff>83344</xdr:colOff>
      <xdr:row>74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345282</xdr:colOff>
      <xdr:row>60</xdr:row>
      <xdr:rowOff>95250</xdr:rowOff>
    </xdr:from>
    <xdr:to>
      <xdr:col>12</xdr:col>
      <xdr:colOff>833438</xdr:colOff>
      <xdr:row>74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428625</xdr:colOff>
      <xdr:row>7</xdr:row>
      <xdr:rowOff>107158</xdr:rowOff>
    </xdr:from>
    <xdr:to>
      <xdr:col>14</xdr:col>
      <xdr:colOff>0</xdr:colOff>
      <xdr:row>10</xdr:row>
      <xdr:rowOff>28577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607346"/>
          <a:ext cx="607218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</xdr:row>
      <xdr:rowOff>66675</xdr:rowOff>
    </xdr:from>
    <xdr:to>
      <xdr:col>6</xdr:col>
      <xdr:colOff>752474</xdr:colOff>
      <xdr:row>10</xdr:row>
      <xdr:rowOff>173831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247650"/>
          <a:ext cx="1981200" cy="2028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71438</xdr:colOff>
      <xdr:row>60</xdr:row>
      <xdr:rowOff>59530</xdr:rowOff>
    </xdr:from>
    <xdr:to>
      <xdr:col>7</xdr:col>
      <xdr:colOff>83344</xdr:colOff>
      <xdr:row>74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345282</xdr:colOff>
      <xdr:row>60</xdr:row>
      <xdr:rowOff>95250</xdr:rowOff>
    </xdr:from>
    <xdr:to>
      <xdr:col>12</xdr:col>
      <xdr:colOff>833438</xdr:colOff>
      <xdr:row>74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428625</xdr:colOff>
      <xdr:row>7</xdr:row>
      <xdr:rowOff>142876</xdr:rowOff>
    </xdr:from>
    <xdr:to>
      <xdr:col>14</xdr:col>
      <xdr:colOff>0</xdr:colOff>
      <xdr:row>10</xdr:row>
      <xdr:rowOff>64295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643064"/>
          <a:ext cx="607218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2</xdr:row>
      <xdr:rowOff>19050</xdr:rowOff>
    </xdr:from>
    <xdr:to>
      <xdr:col>6</xdr:col>
      <xdr:colOff>761999</xdr:colOff>
      <xdr:row>11</xdr:row>
      <xdr:rowOff>30956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381000"/>
          <a:ext cx="1981200" cy="2028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davies\Documents\A_JDGD\Standards\EN15316-4-2-2008\ASHPs\HTHP's\15316_4_2%20SAPQ%20Model%20A_W%20HTHP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 Characteristics"/>
      <sheetName val="Climate Data"/>
      <sheetName val="Energy"/>
      <sheetName val="Sheet1"/>
      <sheetName val="Back-up Energy"/>
      <sheetName val="HC_COP"/>
      <sheetName val="LA12MI EN14511 results vs. SAPQ"/>
      <sheetName val="LA12MI Comparison"/>
      <sheetName val="Bin Capacity comparison"/>
      <sheetName val="Mich's detailed Bin"/>
      <sheetName val="Sheet3"/>
      <sheetName val="HEAT PUMP"/>
      <sheetName val="MIT"/>
      <sheetName val="HP MIT"/>
    </sheetNames>
    <sheetDataSet>
      <sheetData sheetId="0" refreshError="1"/>
      <sheetData sheetId="1">
        <row r="14">
          <cell r="D14">
            <v>12294.022706307569</v>
          </cell>
        </row>
        <row r="15">
          <cell r="D15">
            <v>2124.0972222222226</v>
          </cell>
        </row>
        <row r="19">
          <cell r="E19">
            <v>-5</v>
          </cell>
        </row>
      </sheetData>
      <sheetData sheetId="2">
        <row r="32">
          <cell r="M32" t="str">
            <v>Radiators 65oC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opLeftCell="A16" workbookViewId="0">
      <selection activeCell="H31" sqref="H31"/>
    </sheetView>
  </sheetViews>
  <sheetFormatPr defaultColWidth="9.1796875" defaultRowHeight="14.5" x14ac:dyDescent="0.35"/>
  <cols>
    <col min="1" max="16384" width="9.1796875" style="7"/>
  </cols>
  <sheetData>
    <row r="1" spans="1:1" x14ac:dyDescent="0.35">
      <c r="A1" s="8" t="s">
        <v>119</v>
      </c>
    </row>
    <row r="2" spans="1:1" x14ac:dyDescent="0.35">
      <c r="A2" s="7" t="s">
        <v>120</v>
      </c>
    </row>
    <row r="3" spans="1:1" x14ac:dyDescent="0.35">
      <c r="A3" s="7" t="s">
        <v>122</v>
      </c>
    </row>
    <row r="4" spans="1:1" x14ac:dyDescent="0.35">
      <c r="A4" s="7" t="s">
        <v>121</v>
      </c>
    </row>
    <row r="5" spans="1:1" x14ac:dyDescent="0.35">
      <c r="A5" s="7" t="s">
        <v>124</v>
      </c>
    </row>
    <row r="6" spans="1:1" x14ac:dyDescent="0.35">
      <c r="A6" s="7" t="s">
        <v>129</v>
      </c>
    </row>
    <row r="7" spans="1:1" x14ac:dyDescent="0.35">
      <c r="A7" s="7" t="s">
        <v>135</v>
      </c>
    </row>
    <row r="8" spans="1:1" x14ac:dyDescent="0.35">
      <c r="A8" s="7" t="s">
        <v>155</v>
      </c>
    </row>
    <row r="9" spans="1:1" x14ac:dyDescent="0.35">
      <c r="A9" s="7" t="s">
        <v>138</v>
      </c>
    </row>
    <row r="10" spans="1:1" ht="16.5" x14ac:dyDescent="0.35">
      <c r="A10" s="7" t="s">
        <v>139</v>
      </c>
    </row>
    <row r="11" spans="1:1" x14ac:dyDescent="0.35">
      <c r="A11" s="7" t="s">
        <v>148</v>
      </c>
    </row>
    <row r="12" spans="1:1" ht="16.5" x14ac:dyDescent="0.45">
      <c r="A12" s="7" t="s">
        <v>154</v>
      </c>
    </row>
    <row r="13" spans="1:1" ht="16.5" x14ac:dyDescent="0.35">
      <c r="A13" s="7" t="s">
        <v>152</v>
      </c>
    </row>
    <row r="14" spans="1:1" x14ac:dyDescent="0.35">
      <c r="A14" s="7" t="s">
        <v>153</v>
      </c>
    </row>
    <row r="15" spans="1:1" x14ac:dyDescent="0.35">
      <c r="A15" s="7" t="s">
        <v>160</v>
      </c>
    </row>
    <row r="16" spans="1:1" x14ac:dyDescent="0.35">
      <c r="A16" s="7" t="s">
        <v>165</v>
      </c>
    </row>
    <row r="17" spans="1:1" x14ac:dyDescent="0.35">
      <c r="A17" s="7" t="s">
        <v>169</v>
      </c>
    </row>
    <row r="18" spans="1:1" x14ac:dyDescent="0.35">
      <c r="A18" s="7" t="s">
        <v>170</v>
      </c>
    </row>
    <row r="19" spans="1:1" x14ac:dyDescent="0.35">
      <c r="A19" s="7" t="s">
        <v>171</v>
      </c>
    </row>
    <row r="20" spans="1:1" x14ac:dyDescent="0.35">
      <c r="A20" s="7" t="s">
        <v>172</v>
      </c>
    </row>
    <row r="21" spans="1:1" x14ac:dyDescent="0.35">
      <c r="A21" s="7" t="s">
        <v>173</v>
      </c>
    </row>
    <row r="22" spans="1:1" x14ac:dyDescent="0.35">
      <c r="A22" s="7" t="s">
        <v>174</v>
      </c>
    </row>
    <row r="23" spans="1:1" x14ac:dyDescent="0.35">
      <c r="A23" s="7" t="s">
        <v>175</v>
      </c>
    </row>
    <row r="24" spans="1:1" x14ac:dyDescent="0.35">
      <c r="A24" s="7" t="s">
        <v>176</v>
      </c>
    </row>
    <row r="25" spans="1:1" x14ac:dyDescent="0.35">
      <c r="A25" s="7" t="s">
        <v>178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647"/>
  <sheetViews>
    <sheetView workbookViewId="0">
      <selection activeCell="B8" sqref="B8:F8"/>
    </sheetView>
  </sheetViews>
  <sheetFormatPr defaultRowHeight="12.5" x14ac:dyDescent="0.25"/>
  <cols>
    <col min="1" max="3" width="8.81640625" style="27"/>
    <col min="4" max="4" width="38.7265625" style="27" customWidth="1"/>
    <col min="5" max="5" width="54.1796875" style="27" customWidth="1"/>
    <col min="6" max="6" width="29" style="27" customWidth="1"/>
    <col min="7" max="7" width="8.81640625" style="27"/>
    <col min="8" max="8" width="39.54296875" style="27" customWidth="1"/>
    <col min="9" max="259" width="8.81640625" style="27"/>
    <col min="260" max="260" width="38.7265625" style="27" customWidth="1"/>
    <col min="261" max="261" width="54.1796875" style="27" customWidth="1"/>
    <col min="262" max="262" width="29" style="27" customWidth="1"/>
    <col min="263" max="263" width="8.81640625" style="27"/>
    <col min="264" max="264" width="39.54296875" style="27" customWidth="1"/>
    <col min="265" max="515" width="8.81640625" style="27"/>
    <col min="516" max="516" width="38.7265625" style="27" customWidth="1"/>
    <col min="517" max="517" width="54.1796875" style="27" customWidth="1"/>
    <col min="518" max="518" width="29" style="27" customWidth="1"/>
    <col min="519" max="519" width="8.81640625" style="27"/>
    <col min="520" max="520" width="39.54296875" style="27" customWidth="1"/>
    <col min="521" max="771" width="8.81640625" style="27"/>
    <col min="772" max="772" width="38.7265625" style="27" customWidth="1"/>
    <col min="773" max="773" width="54.1796875" style="27" customWidth="1"/>
    <col min="774" max="774" width="29" style="27" customWidth="1"/>
    <col min="775" max="775" width="8.81640625" style="27"/>
    <col min="776" max="776" width="39.54296875" style="27" customWidth="1"/>
    <col min="777" max="1027" width="8.81640625" style="27"/>
    <col min="1028" max="1028" width="38.7265625" style="27" customWidth="1"/>
    <col min="1029" max="1029" width="54.1796875" style="27" customWidth="1"/>
    <col min="1030" max="1030" width="29" style="27" customWidth="1"/>
    <col min="1031" max="1031" width="8.81640625" style="27"/>
    <col min="1032" max="1032" width="39.54296875" style="27" customWidth="1"/>
    <col min="1033" max="1283" width="8.81640625" style="27"/>
    <col min="1284" max="1284" width="38.7265625" style="27" customWidth="1"/>
    <col min="1285" max="1285" width="54.1796875" style="27" customWidth="1"/>
    <col min="1286" max="1286" width="29" style="27" customWidth="1"/>
    <col min="1287" max="1287" width="8.81640625" style="27"/>
    <col min="1288" max="1288" width="39.54296875" style="27" customWidth="1"/>
    <col min="1289" max="1539" width="8.81640625" style="27"/>
    <col min="1540" max="1540" width="38.7265625" style="27" customWidth="1"/>
    <col min="1541" max="1541" width="54.1796875" style="27" customWidth="1"/>
    <col min="1542" max="1542" width="29" style="27" customWidth="1"/>
    <col min="1543" max="1543" width="8.81640625" style="27"/>
    <col min="1544" max="1544" width="39.54296875" style="27" customWidth="1"/>
    <col min="1545" max="1795" width="8.81640625" style="27"/>
    <col min="1796" max="1796" width="38.7265625" style="27" customWidth="1"/>
    <col min="1797" max="1797" width="54.1796875" style="27" customWidth="1"/>
    <col min="1798" max="1798" width="29" style="27" customWidth="1"/>
    <col min="1799" max="1799" width="8.81640625" style="27"/>
    <col min="1800" max="1800" width="39.54296875" style="27" customWidth="1"/>
    <col min="1801" max="2051" width="8.81640625" style="27"/>
    <col min="2052" max="2052" width="38.7265625" style="27" customWidth="1"/>
    <col min="2053" max="2053" width="54.1796875" style="27" customWidth="1"/>
    <col min="2054" max="2054" width="29" style="27" customWidth="1"/>
    <col min="2055" max="2055" width="8.81640625" style="27"/>
    <col min="2056" max="2056" width="39.54296875" style="27" customWidth="1"/>
    <col min="2057" max="2307" width="8.81640625" style="27"/>
    <col min="2308" max="2308" width="38.7265625" style="27" customWidth="1"/>
    <col min="2309" max="2309" width="54.1796875" style="27" customWidth="1"/>
    <col min="2310" max="2310" width="29" style="27" customWidth="1"/>
    <col min="2311" max="2311" width="8.81640625" style="27"/>
    <col min="2312" max="2312" width="39.54296875" style="27" customWidth="1"/>
    <col min="2313" max="2563" width="8.81640625" style="27"/>
    <col min="2564" max="2564" width="38.7265625" style="27" customWidth="1"/>
    <col min="2565" max="2565" width="54.1796875" style="27" customWidth="1"/>
    <col min="2566" max="2566" width="29" style="27" customWidth="1"/>
    <col min="2567" max="2567" width="8.81640625" style="27"/>
    <col min="2568" max="2568" width="39.54296875" style="27" customWidth="1"/>
    <col min="2569" max="2819" width="8.81640625" style="27"/>
    <col min="2820" max="2820" width="38.7265625" style="27" customWidth="1"/>
    <col min="2821" max="2821" width="54.1796875" style="27" customWidth="1"/>
    <col min="2822" max="2822" width="29" style="27" customWidth="1"/>
    <col min="2823" max="2823" width="8.81640625" style="27"/>
    <col min="2824" max="2824" width="39.54296875" style="27" customWidth="1"/>
    <col min="2825" max="3075" width="8.81640625" style="27"/>
    <col min="3076" max="3076" width="38.7265625" style="27" customWidth="1"/>
    <col min="3077" max="3077" width="54.1796875" style="27" customWidth="1"/>
    <col min="3078" max="3078" width="29" style="27" customWidth="1"/>
    <col min="3079" max="3079" width="8.81640625" style="27"/>
    <col min="3080" max="3080" width="39.54296875" style="27" customWidth="1"/>
    <col min="3081" max="3331" width="8.81640625" style="27"/>
    <col min="3332" max="3332" width="38.7265625" style="27" customWidth="1"/>
    <col min="3333" max="3333" width="54.1796875" style="27" customWidth="1"/>
    <col min="3334" max="3334" width="29" style="27" customWidth="1"/>
    <col min="3335" max="3335" width="8.81640625" style="27"/>
    <col min="3336" max="3336" width="39.54296875" style="27" customWidth="1"/>
    <col min="3337" max="3587" width="8.81640625" style="27"/>
    <col min="3588" max="3588" width="38.7265625" style="27" customWidth="1"/>
    <col min="3589" max="3589" width="54.1796875" style="27" customWidth="1"/>
    <col min="3590" max="3590" width="29" style="27" customWidth="1"/>
    <col min="3591" max="3591" width="8.81640625" style="27"/>
    <col min="3592" max="3592" width="39.54296875" style="27" customWidth="1"/>
    <col min="3593" max="3843" width="8.81640625" style="27"/>
    <col min="3844" max="3844" width="38.7265625" style="27" customWidth="1"/>
    <col min="3845" max="3845" width="54.1796875" style="27" customWidth="1"/>
    <col min="3846" max="3846" width="29" style="27" customWidth="1"/>
    <col min="3847" max="3847" width="8.81640625" style="27"/>
    <col min="3848" max="3848" width="39.54296875" style="27" customWidth="1"/>
    <col min="3849" max="4099" width="8.81640625" style="27"/>
    <col min="4100" max="4100" width="38.7265625" style="27" customWidth="1"/>
    <col min="4101" max="4101" width="54.1796875" style="27" customWidth="1"/>
    <col min="4102" max="4102" width="29" style="27" customWidth="1"/>
    <col min="4103" max="4103" width="8.81640625" style="27"/>
    <col min="4104" max="4104" width="39.54296875" style="27" customWidth="1"/>
    <col min="4105" max="4355" width="8.81640625" style="27"/>
    <col min="4356" max="4356" width="38.7265625" style="27" customWidth="1"/>
    <col min="4357" max="4357" width="54.1796875" style="27" customWidth="1"/>
    <col min="4358" max="4358" width="29" style="27" customWidth="1"/>
    <col min="4359" max="4359" width="8.81640625" style="27"/>
    <col min="4360" max="4360" width="39.54296875" style="27" customWidth="1"/>
    <col min="4361" max="4611" width="8.81640625" style="27"/>
    <col min="4612" max="4612" width="38.7265625" style="27" customWidth="1"/>
    <col min="4613" max="4613" width="54.1796875" style="27" customWidth="1"/>
    <col min="4614" max="4614" width="29" style="27" customWidth="1"/>
    <col min="4615" max="4615" width="8.81640625" style="27"/>
    <col min="4616" max="4616" width="39.54296875" style="27" customWidth="1"/>
    <col min="4617" max="4867" width="8.81640625" style="27"/>
    <col min="4868" max="4868" width="38.7265625" style="27" customWidth="1"/>
    <col min="4869" max="4869" width="54.1796875" style="27" customWidth="1"/>
    <col min="4870" max="4870" width="29" style="27" customWidth="1"/>
    <col min="4871" max="4871" width="8.81640625" style="27"/>
    <col min="4872" max="4872" width="39.54296875" style="27" customWidth="1"/>
    <col min="4873" max="5123" width="8.81640625" style="27"/>
    <col min="5124" max="5124" width="38.7265625" style="27" customWidth="1"/>
    <col min="5125" max="5125" width="54.1796875" style="27" customWidth="1"/>
    <col min="5126" max="5126" width="29" style="27" customWidth="1"/>
    <col min="5127" max="5127" width="8.81640625" style="27"/>
    <col min="5128" max="5128" width="39.54296875" style="27" customWidth="1"/>
    <col min="5129" max="5379" width="8.81640625" style="27"/>
    <col min="5380" max="5380" width="38.7265625" style="27" customWidth="1"/>
    <col min="5381" max="5381" width="54.1796875" style="27" customWidth="1"/>
    <col min="5382" max="5382" width="29" style="27" customWidth="1"/>
    <col min="5383" max="5383" width="8.81640625" style="27"/>
    <col min="5384" max="5384" width="39.54296875" style="27" customWidth="1"/>
    <col min="5385" max="5635" width="8.81640625" style="27"/>
    <col min="5636" max="5636" width="38.7265625" style="27" customWidth="1"/>
    <col min="5637" max="5637" width="54.1796875" style="27" customWidth="1"/>
    <col min="5638" max="5638" width="29" style="27" customWidth="1"/>
    <col min="5639" max="5639" width="8.81640625" style="27"/>
    <col min="5640" max="5640" width="39.54296875" style="27" customWidth="1"/>
    <col min="5641" max="5891" width="8.81640625" style="27"/>
    <col min="5892" max="5892" width="38.7265625" style="27" customWidth="1"/>
    <col min="5893" max="5893" width="54.1796875" style="27" customWidth="1"/>
    <col min="5894" max="5894" width="29" style="27" customWidth="1"/>
    <col min="5895" max="5895" width="8.81640625" style="27"/>
    <col min="5896" max="5896" width="39.54296875" style="27" customWidth="1"/>
    <col min="5897" max="6147" width="8.81640625" style="27"/>
    <col min="6148" max="6148" width="38.7265625" style="27" customWidth="1"/>
    <col min="6149" max="6149" width="54.1796875" style="27" customWidth="1"/>
    <col min="6150" max="6150" width="29" style="27" customWidth="1"/>
    <col min="6151" max="6151" width="8.81640625" style="27"/>
    <col min="6152" max="6152" width="39.54296875" style="27" customWidth="1"/>
    <col min="6153" max="6403" width="8.81640625" style="27"/>
    <col min="6404" max="6404" width="38.7265625" style="27" customWidth="1"/>
    <col min="6405" max="6405" width="54.1796875" style="27" customWidth="1"/>
    <col min="6406" max="6406" width="29" style="27" customWidth="1"/>
    <col min="6407" max="6407" width="8.81640625" style="27"/>
    <col min="6408" max="6408" width="39.54296875" style="27" customWidth="1"/>
    <col min="6409" max="6659" width="8.81640625" style="27"/>
    <col min="6660" max="6660" width="38.7265625" style="27" customWidth="1"/>
    <col min="6661" max="6661" width="54.1796875" style="27" customWidth="1"/>
    <col min="6662" max="6662" width="29" style="27" customWidth="1"/>
    <col min="6663" max="6663" width="8.81640625" style="27"/>
    <col min="6664" max="6664" width="39.54296875" style="27" customWidth="1"/>
    <col min="6665" max="6915" width="8.81640625" style="27"/>
    <col min="6916" max="6916" width="38.7265625" style="27" customWidth="1"/>
    <col min="6917" max="6917" width="54.1796875" style="27" customWidth="1"/>
    <col min="6918" max="6918" width="29" style="27" customWidth="1"/>
    <col min="6919" max="6919" width="8.81640625" style="27"/>
    <col min="6920" max="6920" width="39.54296875" style="27" customWidth="1"/>
    <col min="6921" max="7171" width="8.81640625" style="27"/>
    <col min="7172" max="7172" width="38.7265625" style="27" customWidth="1"/>
    <col min="7173" max="7173" width="54.1796875" style="27" customWidth="1"/>
    <col min="7174" max="7174" width="29" style="27" customWidth="1"/>
    <col min="7175" max="7175" width="8.81640625" style="27"/>
    <col min="7176" max="7176" width="39.54296875" style="27" customWidth="1"/>
    <col min="7177" max="7427" width="8.81640625" style="27"/>
    <col min="7428" max="7428" width="38.7265625" style="27" customWidth="1"/>
    <col min="7429" max="7429" width="54.1796875" style="27" customWidth="1"/>
    <col min="7430" max="7430" width="29" style="27" customWidth="1"/>
    <col min="7431" max="7431" width="8.81640625" style="27"/>
    <col min="7432" max="7432" width="39.54296875" style="27" customWidth="1"/>
    <col min="7433" max="7683" width="8.81640625" style="27"/>
    <col min="7684" max="7684" width="38.7265625" style="27" customWidth="1"/>
    <col min="7685" max="7685" width="54.1796875" style="27" customWidth="1"/>
    <col min="7686" max="7686" width="29" style="27" customWidth="1"/>
    <col min="7687" max="7687" width="8.81640625" style="27"/>
    <col min="7688" max="7688" width="39.54296875" style="27" customWidth="1"/>
    <col min="7689" max="7939" width="8.81640625" style="27"/>
    <col min="7940" max="7940" width="38.7265625" style="27" customWidth="1"/>
    <col min="7941" max="7941" width="54.1796875" style="27" customWidth="1"/>
    <col min="7942" max="7942" width="29" style="27" customWidth="1"/>
    <col min="7943" max="7943" width="8.81640625" style="27"/>
    <col min="7944" max="7944" width="39.54296875" style="27" customWidth="1"/>
    <col min="7945" max="8195" width="8.81640625" style="27"/>
    <col min="8196" max="8196" width="38.7265625" style="27" customWidth="1"/>
    <col min="8197" max="8197" width="54.1796875" style="27" customWidth="1"/>
    <col min="8198" max="8198" width="29" style="27" customWidth="1"/>
    <col min="8199" max="8199" width="8.81640625" style="27"/>
    <col min="8200" max="8200" width="39.54296875" style="27" customWidth="1"/>
    <col min="8201" max="8451" width="8.81640625" style="27"/>
    <col min="8452" max="8452" width="38.7265625" style="27" customWidth="1"/>
    <col min="8453" max="8453" width="54.1796875" style="27" customWidth="1"/>
    <col min="8454" max="8454" width="29" style="27" customWidth="1"/>
    <col min="8455" max="8455" width="8.81640625" style="27"/>
    <col min="8456" max="8456" width="39.54296875" style="27" customWidth="1"/>
    <col min="8457" max="8707" width="8.81640625" style="27"/>
    <col min="8708" max="8708" width="38.7265625" style="27" customWidth="1"/>
    <col min="8709" max="8709" width="54.1796875" style="27" customWidth="1"/>
    <col min="8710" max="8710" width="29" style="27" customWidth="1"/>
    <col min="8711" max="8711" width="8.81640625" style="27"/>
    <col min="8712" max="8712" width="39.54296875" style="27" customWidth="1"/>
    <col min="8713" max="8963" width="8.81640625" style="27"/>
    <col min="8964" max="8964" width="38.7265625" style="27" customWidth="1"/>
    <col min="8965" max="8965" width="54.1796875" style="27" customWidth="1"/>
    <col min="8966" max="8966" width="29" style="27" customWidth="1"/>
    <col min="8967" max="8967" width="8.81640625" style="27"/>
    <col min="8968" max="8968" width="39.54296875" style="27" customWidth="1"/>
    <col min="8969" max="9219" width="8.81640625" style="27"/>
    <col min="9220" max="9220" width="38.7265625" style="27" customWidth="1"/>
    <col min="9221" max="9221" width="54.1796875" style="27" customWidth="1"/>
    <col min="9222" max="9222" width="29" style="27" customWidth="1"/>
    <col min="9223" max="9223" width="8.81640625" style="27"/>
    <col min="9224" max="9224" width="39.54296875" style="27" customWidth="1"/>
    <col min="9225" max="9475" width="8.81640625" style="27"/>
    <col min="9476" max="9476" width="38.7265625" style="27" customWidth="1"/>
    <col min="9477" max="9477" width="54.1796875" style="27" customWidth="1"/>
    <col min="9478" max="9478" width="29" style="27" customWidth="1"/>
    <col min="9479" max="9479" width="8.81640625" style="27"/>
    <col min="9480" max="9480" width="39.54296875" style="27" customWidth="1"/>
    <col min="9481" max="9731" width="8.81640625" style="27"/>
    <col min="9732" max="9732" width="38.7265625" style="27" customWidth="1"/>
    <col min="9733" max="9733" width="54.1796875" style="27" customWidth="1"/>
    <col min="9734" max="9734" width="29" style="27" customWidth="1"/>
    <col min="9735" max="9735" width="8.81640625" style="27"/>
    <col min="9736" max="9736" width="39.54296875" style="27" customWidth="1"/>
    <col min="9737" max="9987" width="8.81640625" style="27"/>
    <col min="9988" max="9988" width="38.7265625" style="27" customWidth="1"/>
    <col min="9989" max="9989" width="54.1796875" style="27" customWidth="1"/>
    <col min="9990" max="9990" width="29" style="27" customWidth="1"/>
    <col min="9991" max="9991" width="8.81640625" style="27"/>
    <col min="9992" max="9992" width="39.54296875" style="27" customWidth="1"/>
    <col min="9993" max="10243" width="8.81640625" style="27"/>
    <col min="10244" max="10244" width="38.7265625" style="27" customWidth="1"/>
    <col min="10245" max="10245" width="54.1796875" style="27" customWidth="1"/>
    <col min="10246" max="10246" width="29" style="27" customWidth="1"/>
    <col min="10247" max="10247" width="8.81640625" style="27"/>
    <col min="10248" max="10248" width="39.54296875" style="27" customWidth="1"/>
    <col min="10249" max="10499" width="8.81640625" style="27"/>
    <col min="10500" max="10500" width="38.7265625" style="27" customWidth="1"/>
    <col min="10501" max="10501" width="54.1796875" style="27" customWidth="1"/>
    <col min="10502" max="10502" width="29" style="27" customWidth="1"/>
    <col min="10503" max="10503" width="8.81640625" style="27"/>
    <col min="10504" max="10504" width="39.54296875" style="27" customWidth="1"/>
    <col min="10505" max="10755" width="8.81640625" style="27"/>
    <col min="10756" max="10756" width="38.7265625" style="27" customWidth="1"/>
    <col min="10757" max="10757" width="54.1796875" style="27" customWidth="1"/>
    <col min="10758" max="10758" width="29" style="27" customWidth="1"/>
    <col min="10759" max="10759" width="8.81640625" style="27"/>
    <col min="10760" max="10760" width="39.54296875" style="27" customWidth="1"/>
    <col min="10761" max="11011" width="8.81640625" style="27"/>
    <col min="11012" max="11012" width="38.7265625" style="27" customWidth="1"/>
    <col min="11013" max="11013" width="54.1796875" style="27" customWidth="1"/>
    <col min="11014" max="11014" width="29" style="27" customWidth="1"/>
    <col min="11015" max="11015" width="8.81640625" style="27"/>
    <col min="11016" max="11016" width="39.54296875" style="27" customWidth="1"/>
    <col min="11017" max="11267" width="8.81640625" style="27"/>
    <col min="11268" max="11268" width="38.7265625" style="27" customWidth="1"/>
    <col min="11269" max="11269" width="54.1796875" style="27" customWidth="1"/>
    <col min="11270" max="11270" width="29" style="27" customWidth="1"/>
    <col min="11271" max="11271" width="8.81640625" style="27"/>
    <col min="11272" max="11272" width="39.54296875" style="27" customWidth="1"/>
    <col min="11273" max="11523" width="8.81640625" style="27"/>
    <col min="11524" max="11524" width="38.7265625" style="27" customWidth="1"/>
    <col min="11525" max="11525" width="54.1796875" style="27" customWidth="1"/>
    <col min="11526" max="11526" width="29" style="27" customWidth="1"/>
    <col min="11527" max="11527" width="8.81640625" style="27"/>
    <col min="11528" max="11528" width="39.54296875" style="27" customWidth="1"/>
    <col min="11529" max="11779" width="8.81640625" style="27"/>
    <col min="11780" max="11780" width="38.7265625" style="27" customWidth="1"/>
    <col min="11781" max="11781" width="54.1796875" style="27" customWidth="1"/>
    <col min="11782" max="11782" width="29" style="27" customWidth="1"/>
    <col min="11783" max="11783" width="8.81640625" style="27"/>
    <col min="11784" max="11784" width="39.54296875" style="27" customWidth="1"/>
    <col min="11785" max="12035" width="8.81640625" style="27"/>
    <col min="12036" max="12036" width="38.7265625" style="27" customWidth="1"/>
    <col min="12037" max="12037" width="54.1796875" style="27" customWidth="1"/>
    <col min="12038" max="12038" width="29" style="27" customWidth="1"/>
    <col min="12039" max="12039" width="8.81640625" style="27"/>
    <col min="12040" max="12040" width="39.54296875" style="27" customWidth="1"/>
    <col min="12041" max="12291" width="8.81640625" style="27"/>
    <col min="12292" max="12292" width="38.7265625" style="27" customWidth="1"/>
    <col min="12293" max="12293" width="54.1796875" style="27" customWidth="1"/>
    <col min="12294" max="12294" width="29" style="27" customWidth="1"/>
    <col min="12295" max="12295" width="8.81640625" style="27"/>
    <col min="12296" max="12296" width="39.54296875" style="27" customWidth="1"/>
    <col min="12297" max="12547" width="8.81640625" style="27"/>
    <col min="12548" max="12548" width="38.7265625" style="27" customWidth="1"/>
    <col min="12549" max="12549" width="54.1796875" style="27" customWidth="1"/>
    <col min="12550" max="12550" width="29" style="27" customWidth="1"/>
    <col min="12551" max="12551" width="8.81640625" style="27"/>
    <col min="12552" max="12552" width="39.54296875" style="27" customWidth="1"/>
    <col min="12553" max="12803" width="8.81640625" style="27"/>
    <col min="12804" max="12804" width="38.7265625" style="27" customWidth="1"/>
    <col min="12805" max="12805" width="54.1796875" style="27" customWidth="1"/>
    <col min="12806" max="12806" width="29" style="27" customWidth="1"/>
    <col min="12807" max="12807" width="8.81640625" style="27"/>
    <col min="12808" max="12808" width="39.54296875" style="27" customWidth="1"/>
    <col min="12809" max="13059" width="8.81640625" style="27"/>
    <col min="13060" max="13060" width="38.7265625" style="27" customWidth="1"/>
    <col min="13061" max="13061" width="54.1796875" style="27" customWidth="1"/>
    <col min="13062" max="13062" width="29" style="27" customWidth="1"/>
    <col min="13063" max="13063" width="8.81640625" style="27"/>
    <col min="13064" max="13064" width="39.54296875" style="27" customWidth="1"/>
    <col min="13065" max="13315" width="8.81640625" style="27"/>
    <col min="13316" max="13316" width="38.7265625" style="27" customWidth="1"/>
    <col min="13317" max="13317" width="54.1796875" style="27" customWidth="1"/>
    <col min="13318" max="13318" width="29" style="27" customWidth="1"/>
    <col min="13319" max="13319" width="8.81640625" style="27"/>
    <col min="13320" max="13320" width="39.54296875" style="27" customWidth="1"/>
    <col min="13321" max="13571" width="8.81640625" style="27"/>
    <col min="13572" max="13572" width="38.7265625" style="27" customWidth="1"/>
    <col min="13573" max="13573" width="54.1796875" style="27" customWidth="1"/>
    <col min="13574" max="13574" width="29" style="27" customWidth="1"/>
    <col min="13575" max="13575" width="8.81640625" style="27"/>
    <col min="13576" max="13576" width="39.54296875" style="27" customWidth="1"/>
    <col min="13577" max="13827" width="8.81640625" style="27"/>
    <col min="13828" max="13828" width="38.7265625" style="27" customWidth="1"/>
    <col min="13829" max="13829" width="54.1796875" style="27" customWidth="1"/>
    <col min="13830" max="13830" width="29" style="27" customWidth="1"/>
    <col min="13831" max="13831" width="8.81640625" style="27"/>
    <col min="13832" max="13832" width="39.54296875" style="27" customWidth="1"/>
    <col min="13833" max="14083" width="8.81640625" style="27"/>
    <col min="14084" max="14084" width="38.7265625" style="27" customWidth="1"/>
    <col min="14085" max="14085" width="54.1796875" style="27" customWidth="1"/>
    <col min="14086" max="14086" width="29" style="27" customWidth="1"/>
    <col min="14087" max="14087" width="8.81640625" style="27"/>
    <col min="14088" max="14088" width="39.54296875" style="27" customWidth="1"/>
    <col min="14089" max="14339" width="8.81640625" style="27"/>
    <col min="14340" max="14340" width="38.7265625" style="27" customWidth="1"/>
    <col min="14341" max="14341" width="54.1796875" style="27" customWidth="1"/>
    <col min="14342" max="14342" width="29" style="27" customWidth="1"/>
    <col min="14343" max="14343" width="8.81640625" style="27"/>
    <col min="14344" max="14344" width="39.54296875" style="27" customWidth="1"/>
    <col min="14345" max="14595" width="8.81640625" style="27"/>
    <col min="14596" max="14596" width="38.7265625" style="27" customWidth="1"/>
    <col min="14597" max="14597" width="54.1796875" style="27" customWidth="1"/>
    <col min="14598" max="14598" width="29" style="27" customWidth="1"/>
    <col min="14599" max="14599" width="8.81640625" style="27"/>
    <col min="14600" max="14600" width="39.54296875" style="27" customWidth="1"/>
    <col min="14601" max="14851" width="8.81640625" style="27"/>
    <col min="14852" max="14852" width="38.7265625" style="27" customWidth="1"/>
    <col min="14853" max="14853" width="54.1796875" style="27" customWidth="1"/>
    <col min="14854" max="14854" width="29" style="27" customWidth="1"/>
    <col min="14855" max="14855" width="8.81640625" style="27"/>
    <col min="14856" max="14856" width="39.54296875" style="27" customWidth="1"/>
    <col min="14857" max="15107" width="8.81640625" style="27"/>
    <col min="15108" max="15108" width="38.7265625" style="27" customWidth="1"/>
    <col min="15109" max="15109" width="54.1796875" style="27" customWidth="1"/>
    <col min="15110" max="15110" width="29" style="27" customWidth="1"/>
    <col min="15111" max="15111" width="8.81640625" style="27"/>
    <col min="15112" max="15112" width="39.54296875" style="27" customWidth="1"/>
    <col min="15113" max="15363" width="8.81640625" style="27"/>
    <col min="15364" max="15364" width="38.7265625" style="27" customWidth="1"/>
    <col min="15365" max="15365" width="54.1796875" style="27" customWidth="1"/>
    <col min="15366" max="15366" width="29" style="27" customWidth="1"/>
    <col min="15367" max="15367" width="8.81640625" style="27"/>
    <col min="15368" max="15368" width="39.54296875" style="27" customWidth="1"/>
    <col min="15369" max="15619" width="8.81640625" style="27"/>
    <col min="15620" max="15620" width="38.7265625" style="27" customWidth="1"/>
    <col min="15621" max="15621" width="54.1796875" style="27" customWidth="1"/>
    <col min="15622" max="15622" width="29" style="27" customWidth="1"/>
    <col min="15623" max="15623" width="8.81640625" style="27"/>
    <col min="15624" max="15624" width="39.54296875" style="27" customWidth="1"/>
    <col min="15625" max="15875" width="8.81640625" style="27"/>
    <col min="15876" max="15876" width="38.7265625" style="27" customWidth="1"/>
    <col min="15877" max="15877" width="54.1796875" style="27" customWidth="1"/>
    <col min="15878" max="15878" width="29" style="27" customWidth="1"/>
    <col min="15879" max="15879" width="8.81640625" style="27"/>
    <col min="15880" max="15880" width="39.54296875" style="27" customWidth="1"/>
    <col min="15881" max="16131" width="8.81640625" style="27"/>
    <col min="16132" max="16132" width="38.7265625" style="27" customWidth="1"/>
    <col min="16133" max="16133" width="54.1796875" style="27" customWidth="1"/>
    <col min="16134" max="16134" width="29" style="27" customWidth="1"/>
    <col min="16135" max="16135" width="8.81640625" style="27"/>
    <col min="16136" max="16136" width="39.54296875" style="27" customWidth="1"/>
    <col min="16137" max="16384" width="8.81640625" style="27"/>
  </cols>
  <sheetData>
    <row r="1" spans="1:96" ht="15.5" x14ac:dyDescent="0.35">
      <c r="A1" s="25"/>
      <c r="B1" s="25"/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</row>
    <row r="2" spans="1:96" ht="21" x14ac:dyDescent="0.5">
      <c r="A2" s="25"/>
      <c r="B2" s="28" t="s">
        <v>179</v>
      </c>
      <c r="C2" s="28"/>
      <c r="D2" s="25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</row>
    <row r="3" spans="1:96" ht="15.5" x14ac:dyDescent="0.35">
      <c r="A3" s="25"/>
      <c r="B3" s="25"/>
      <c r="C3" s="25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</row>
    <row r="4" spans="1:96" ht="15.5" x14ac:dyDescent="0.35">
      <c r="A4" s="25"/>
      <c r="B4" s="25"/>
      <c r="C4" s="25"/>
      <c r="D4" s="25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</row>
    <row r="5" spans="1:96" ht="15.5" x14ac:dyDescent="0.35">
      <c r="A5" s="25"/>
      <c r="B5" s="25"/>
      <c r="C5" s="25"/>
      <c r="D5" s="25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</row>
    <row r="6" spans="1:96" ht="15.5" x14ac:dyDescent="0.3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</row>
    <row r="7" spans="1:96" ht="4.5" customHeight="1" x14ac:dyDescent="0.35">
      <c r="A7" s="25"/>
      <c r="B7" s="25"/>
      <c r="C7" s="25"/>
      <c r="D7" s="25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</row>
    <row r="8" spans="1:96" ht="51" customHeight="1" x14ac:dyDescent="0.35">
      <c r="A8" s="25"/>
      <c r="B8" s="163" t="s">
        <v>180</v>
      </c>
      <c r="C8" s="163"/>
      <c r="D8" s="163"/>
      <c r="E8" s="163"/>
      <c r="F8" s="16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</row>
    <row r="9" spans="1:96" ht="15.5" x14ac:dyDescent="0.35">
      <c r="A9" s="25"/>
      <c r="B9" s="29"/>
      <c r="C9" s="29"/>
      <c r="D9" s="29"/>
      <c r="E9" s="29"/>
      <c r="F9" s="29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</row>
    <row r="10" spans="1:96" ht="33" customHeight="1" x14ac:dyDescent="0.35">
      <c r="A10" s="25"/>
      <c r="B10" s="163" t="s">
        <v>181</v>
      </c>
      <c r="C10" s="163"/>
      <c r="D10" s="163"/>
      <c r="E10" s="163"/>
      <c r="F10" s="29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</row>
    <row r="11" spans="1:96" ht="16.5" customHeight="1" x14ac:dyDescent="0.35">
      <c r="A11" s="25"/>
      <c r="B11" s="29"/>
      <c r="C11" s="29"/>
      <c r="D11" s="29"/>
      <c r="E11" s="29"/>
      <c r="F11" s="2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</row>
    <row r="12" spans="1:96" ht="33" customHeight="1" x14ac:dyDescent="0.35">
      <c r="A12" s="25"/>
      <c r="B12" s="163" t="s">
        <v>182</v>
      </c>
      <c r="C12" s="163"/>
      <c r="D12" s="163"/>
      <c r="E12" s="163"/>
      <c r="F12" s="2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</row>
    <row r="13" spans="1:96" ht="15.5" x14ac:dyDescent="0.35">
      <c r="A13" s="25"/>
      <c r="B13" s="29"/>
      <c r="C13" s="29"/>
      <c r="D13" s="29"/>
      <c r="E13" s="29"/>
      <c r="F13" s="2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</row>
    <row r="14" spans="1:96" ht="15.5" x14ac:dyDescent="0.35">
      <c r="A14" s="25"/>
      <c r="B14" s="163" t="s">
        <v>183</v>
      </c>
      <c r="C14" s="163"/>
      <c r="D14" s="163"/>
      <c r="E14" s="163"/>
      <c r="F14" s="29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</row>
    <row r="15" spans="1:96" ht="15.5" x14ac:dyDescent="0.35">
      <c r="A15" s="25"/>
      <c r="B15" s="29"/>
      <c r="C15" s="29"/>
      <c r="D15" s="29"/>
      <c r="E15" s="29"/>
      <c r="F15" s="29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</row>
    <row r="16" spans="1:96" ht="15.5" x14ac:dyDescent="0.35">
      <c r="A16" s="25"/>
      <c r="B16" s="25"/>
      <c r="C16" s="25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</row>
    <row r="17" spans="1:96" ht="15.5" x14ac:dyDescent="0.3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</row>
    <row r="18" spans="1:96" ht="15.5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</row>
    <row r="19" spans="1:96" ht="15.5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</row>
    <row r="20" spans="1:96" ht="15.5" x14ac:dyDescent="0.3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</row>
    <row r="21" spans="1:96" ht="15.5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</row>
    <row r="22" spans="1:96" ht="15.5" x14ac:dyDescent="0.3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</row>
    <row r="23" spans="1:96" ht="15.5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</row>
    <row r="24" spans="1:96" ht="15.5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</row>
    <row r="25" spans="1:96" ht="15.5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</row>
    <row r="26" spans="1:96" ht="15.5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</row>
    <row r="27" spans="1:96" ht="15.5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</row>
    <row r="28" spans="1:96" ht="15.5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</row>
    <row r="29" spans="1:96" ht="15.5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</row>
    <row r="30" spans="1:96" ht="15.5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</row>
    <row r="31" spans="1:96" ht="15.5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</row>
    <row r="32" spans="1:96" ht="15.5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</row>
    <row r="33" spans="1:96" ht="15.5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</row>
    <row r="34" spans="1:96" ht="15.5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</row>
    <row r="35" spans="1:96" ht="15.5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</row>
    <row r="36" spans="1:96" ht="15.5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</row>
    <row r="37" spans="1:96" ht="15.5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</row>
    <row r="38" spans="1:96" ht="15.5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</row>
    <row r="39" spans="1:96" ht="15.5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</row>
    <row r="40" spans="1:96" ht="15.5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</row>
    <row r="41" spans="1:96" ht="15.5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</row>
    <row r="42" spans="1:96" ht="15.5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</row>
    <row r="43" spans="1:96" ht="15.5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</row>
    <row r="44" spans="1:96" ht="15.5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</row>
    <row r="45" spans="1:96" ht="15.5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</row>
    <row r="46" spans="1:96" ht="15.5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</row>
    <row r="47" spans="1:96" ht="15.5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</row>
    <row r="48" spans="1:96" ht="15.5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</row>
    <row r="49" spans="1:96" ht="15.5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</row>
    <row r="50" spans="1:96" ht="15.5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</row>
    <row r="51" spans="1:96" ht="15.5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</row>
    <row r="52" spans="1:96" ht="15.5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</row>
    <row r="53" spans="1:96" ht="15.5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</row>
    <row r="54" spans="1:96" ht="15.5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</row>
    <row r="55" spans="1:96" ht="15.5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</row>
    <row r="56" spans="1:96" ht="15.5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</row>
    <row r="57" spans="1:96" ht="15.5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</row>
    <row r="58" spans="1:96" ht="15.5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</row>
    <row r="59" spans="1:96" ht="15.5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</row>
    <row r="60" spans="1:96" ht="15.5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</row>
    <row r="61" spans="1:96" ht="15.5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</row>
    <row r="62" spans="1:96" ht="15.5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</row>
    <row r="63" spans="1:96" ht="15.5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</row>
    <row r="64" spans="1:96" ht="15.5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</row>
    <row r="65" spans="1:96" ht="15.5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</row>
    <row r="66" spans="1:96" ht="15.5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</row>
    <row r="67" spans="1:96" ht="15.5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</row>
    <row r="68" spans="1:96" ht="15.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</row>
    <row r="69" spans="1:96" ht="15.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</row>
    <row r="70" spans="1:96" ht="15.5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</row>
    <row r="71" spans="1:96" ht="15.5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</row>
    <row r="72" spans="1:96" ht="15.5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</row>
    <row r="73" spans="1:96" ht="15.5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</row>
    <row r="74" spans="1:96" ht="15.5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</row>
    <row r="75" spans="1:96" ht="15.5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</row>
    <row r="76" spans="1:96" ht="15.5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</row>
    <row r="77" spans="1:96" ht="15.5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</row>
    <row r="78" spans="1:96" ht="15.5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</row>
    <row r="79" spans="1:96" ht="15.5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</row>
    <row r="80" spans="1:96" ht="15.5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</row>
    <row r="81" spans="1:96" ht="15.5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</row>
    <row r="82" spans="1:96" ht="15.5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</row>
    <row r="83" spans="1:96" ht="15.5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</row>
    <row r="84" spans="1:96" ht="15.5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</row>
    <row r="85" spans="1:96" ht="15.5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</row>
    <row r="86" spans="1:96" ht="15.5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</row>
    <row r="87" spans="1:96" ht="15.5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</row>
    <row r="88" spans="1:96" ht="15.5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</row>
    <row r="89" spans="1:96" ht="15.5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</row>
    <row r="90" spans="1:96" ht="15.5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</row>
    <row r="91" spans="1:96" ht="15.5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</row>
    <row r="92" spans="1:96" ht="15.5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</row>
    <row r="93" spans="1:96" ht="15.5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</row>
    <row r="94" spans="1:96" ht="15.5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</row>
    <row r="95" spans="1:96" ht="15.5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</row>
    <row r="96" spans="1:96" ht="15.5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</row>
    <row r="97" spans="1:96" ht="15.5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</row>
    <row r="98" spans="1:96" ht="15.5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</row>
    <row r="99" spans="1:96" ht="15.5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</row>
    <row r="100" spans="1:96" ht="15.5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</row>
    <row r="101" spans="1:96" ht="15.5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</row>
    <row r="102" spans="1:96" ht="15.5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</row>
    <row r="103" spans="1:96" ht="15.5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</row>
    <row r="104" spans="1:96" ht="15.5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</row>
    <row r="105" spans="1:96" ht="15.5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</row>
    <row r="106" spans="1:96" ht="15.5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</row>
    <row r="107" spans="1:96" ht="15.5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</row>
    <row r="108" spans="1:96" ht="15.5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</row>
    <row r="109" spans="1:96" ht="15.5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</row>
    <row r="110" spans="1:96" ht="15.5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</row>
    <row r="111" spans="1:96" ht="15.5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</row>
    <row r="112" spans="1:96" ht="15.5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</row>
    <row r="113" spans="1:96" ht="15.5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</row>
    <row r="114" spans="1:96" ht="15.5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</row>
    <row r="115" spans="1:96" ht="15.5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</row>
    <row r="116" spans="1:96" ht="15.5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</row>
    <row r="117" spans="1:96" ht="15.5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</row>
    <row r="118" spans="1:96" ht="15.5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</row>
    <row r="119" spans="1:96" ht="15.5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</row>
    <row r="120" spans="1:96" ht="15.5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</row>
    <row r="121" spans="1:96" ht="15.5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</row>
    <row r="122" spans="1:96" ht="15.5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</row>
    <row r="123" spans="1:96" ht="15.5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</row>
    <row r="124" spans="1:96" ht="15.5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</row>
    <row r="125" spans="1:96" ht="15.5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</row>
    <row r="126" spans="1:96" ht="15.5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</row>
    <row r="127" spans="1:96" ht="15.5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</row>
    <row r="128" spans="1:96" ht="15.5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</row>
    <row r="129" spans="1:96" ht="15.5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</row>
    <row r="130" spans="1:96" ht="15.5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</row>
    <row r="131" spans="1:96" ht="15.5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</row>
    <row r="132" spans="1:96" ht="15.5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</row>
    <row r="133" spans="1:96" ht="15.5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</row>
    <row r="134" spans="1:96" ht="15.5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</row>
    <row r="135" spans="1:96" ht="15.5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</row>
    <row r="136" spans="1:96" ht="15.5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</row>
    <row r="137" spans="1:96" ht="15.5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</row>
    <row r="138" spans="1:96" ht="15.5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</row>
    <row r="139" spans="1:96" ht="15.5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</row>
    <row r="140" spans="1:96" ht="15.5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</row>
    <row r="141" spans="1:96" ht="15.5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</row>
    <row r="142" spans="1:96" ht="15.5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</row>
    <row r="143" spans="1:96" ht="15.5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</row>
    <row r="144" spans="1:96" ht="15.5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</row>
    <row r="145" spans="1:96" ht="15.5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</row>
    <row r="146" spans="1:96" ht="15.5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</row>
    <row r="147" spans="1:96" ht="15.5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</row>
    <row r="148" spans="1:96" ht="15.5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</row>
    <row r="149" spans="1:96" ht="15.5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</row>
    <row r="150" spans="1:96" ht="15.5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</row>
    <row r="151" spans="1:96" ht="15.5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</row>
    <row r="152" spans="1:96" ht="15.5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</row>
    <row r="153" spans="1:96" ht="15.5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</row>
    <row r="154" spans="1:96" ht="15.5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</row>
    <row r="155" spans="1:96" ht="15.5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</row>
    <row r="156" spans="1:96" ht="15.5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</row>
    <row r="157" spans="1:96" ht="15.5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</row>
    <row r="158" spans="1:96" ht="15.5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</row>
    <row r="159" spans="1:96" ht="15.5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</row>
    <row r="160" spans="1:96" ht="15.5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</row>
    <row r="161" spans="1:96" ht="15.5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</row>
    <row r="162" spans="1:96" ht="15.5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</row>
    <row r="163" spans="1:96" ht="15.5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</row>
    <row r="164" spans="1:96" ht="15.5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</row>
    <row r="165" spans="1:96" ht="15.5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</row>
    <row r="166" spans="1:96" ht="15.5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</row>
    <row r="167" spans="1:96" ht="15.5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</row>
    <row r="168" spans="1:96" ht="15.5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</row>
    <row r="169" spans="1:96" ht="15.5" x14ac:dyDescent="0.3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</row>
    <row r="170" spans="1:96" ht="15.5" x14ac:dyDescent="0.3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</row>
    <row r="171" spans="1:96" ht="15.5" x14ac:dyDescent="0.3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</row>
    <row r="172" spans="1:96" ht="15.5" x14ac:dyDescent="0.3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</row>
    <row r="173" spans="1:96" ht="15.5" x14ac:dyDescent="0.3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</row>
    <row r="174" spans="1:96" ht="15.5" x14ac:dyDescent="0.3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</row>
    <row r="175" spans="1:96" ht="15.5" x14ac:dyDescent="0.3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</row>
    <row r="176" spans="1:96" ht="15.5" x14ac:dyDescent="0.3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</row>
    <row r="177" spans="1:96" ht="15.5" x14ac:dyDescent="0.3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</row>
    <row r="178" spans="1:96" ht="15.5" x14ac:dyDescent="0.3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</row>
    <row r="179" spans="1:96" ht="15.5" x14ac:dyDescent="0.3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</row>
    <row r="180" spans="1:96" ht="15.5" x14ac:dyDescent="0.3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</row>
    <row r="181" spans="1:96" ht="15.5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</row>
    <row r="182" spans="1:96" ht="15.5" x14ac:dyDescent="0.3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</row>
    <row r="183" spans="1:96" ht="15.5" x14ac:dyDescent="0.3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</row>
    <row r="184" spans="1:96" ht="15.5" x14ac:dyDescent="0.3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</row>
    <row r="185" spans="1:96" ht="15.5" x14ac:dyDescent="0.3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</row>
    <row r="186" spans="1:96" ht="15.5" x14ac:dyDescent="0.3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</row>
    <row r="187" spans="1:96" ht="15.5" x14ac:dyDescent="0.3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</row>
    <row r="188" spans="1:96" ht="15.5" x14ac:dyDescent="0.3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</row>
    <row r="189" spans="1:96" ht="15.5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</row>
    <row r="190" spans="1:96" ht="15.5" x14ac:dyDescent="0.3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</row>
    <row r="191" spans="1:96" ht="15.5" x14ac:dyDescent="0.3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</row>
    <row r="192" spans="1:96" ht="15.5" x14ac:dyDescent="0.3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</row>
    <row r="193" spans="1:96" ht="15.5" x14ac:dyDescent="0.3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</row>
    <row r="194" spans="1:96" ht="15.5" x14ac:dyDescent="0.3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</row>
    <row r="195" spans="1:96" ht="15.5" x14ac:dyDescent="0.3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</row>
    <row r="196" spans="1:96" ht="15.5" x14ac:dyDescent="0.3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</row>
    <row r="197" spans="1:96" ht="15.5" x14ac:dyDescent="0.3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</row>
    <row r="198" spans="1:96" ht="15.5" x14ac:dyDescent="0.3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</row>
    <row r="199" spans="1:96" ht="15.5" x14ac:dyDescent="0.3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</row>
    <row r="200" spans="1:96" ht="15.5" x14ac:dyDescent="0.3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</row>
    <row r="201" spans="1:96" ht="15.5" x14ac:dyDescent="0.3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</row>
    <row r="202" spans="1:96" ht="15.5" x14ac:dyDescent="0.3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</row>
    <row r="203" spans="1:96" ht="15.5" x14ac:dyDescent="0.3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</row>
    <row r="204" spans="1:96" ht="15.5" x14ac:dyDescent="0.3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</row>
    <row r="205" spans="1:96" ht="15.5" x14ac:dyDescent="0.3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</row>
    <row r="206" spans="1:96" ht="15.5" x14ac:dyDescent="0.3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</row>
    <row r="207" spans="1:96" ht="15.5" x14ac:dyDescent="0.3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</row>
    <row r="208" spans="1:96" ht="15.5" x14ac:dyDescent="0.3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</row>
    <row r="209" spans="1:96" ht="15.5" x14ac:dyDescent="0.3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</row>
    <row r="210" spans="1:96" ht="15.5" x14ac:dyDescent="0.3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</row>
    <row r="211" spans="1:96" ht="15.5" x14ac:dyDescent="0.3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</row>
    <row r="212" spans="1:96" ht="15.5" x14ac:dyDescent="0.3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</row>
    <row r="213" spans="1:96" ht="15.5" x14ac:dyDescent="0.3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</row>
    <row r="214" spans="1:96" ht="15.5" x14ac:dyDescent="0.3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</row>
    <row r="215" spans="1:96" ht="15.5" x14ac:dyDescent="0.3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</row>
    <row r="216" spans="1:96" ht="15.5" x14ac:dyDescent="0.3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</row>
    <row r="217" spans="1:96" ht="15.5" x14ac:dyDescent="0.3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</row>
    <row r="218" spans="1:96" ht="15.5" x14ac:dyDescent="0.3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</row>
    <row r="219" spans="1:96" ht="15.5" x14ac:dyDescent="0.3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</row>
    <row r="220" spans="1:96" ht="15.5" x14ac:dyDescent="0.3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</row>
    <row r="221" spans="1:96" ht="15.5" x14ac:dyDescent="0.3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</row>
    <row r="222" spans="1:96" ht="15.5" x14ac:dyDescent="0.3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</row>
    <row r="223" spans="1:96" ht="15.5" x14ac:dyDescent="0.3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</row>
    <row r="224" spans="1:96" ht="15.5" x14ac:dyDescent="0.3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</row>
    <row r="225" spans="1:96" ht="15.5" x14ac:dyDescent="0.3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</row>
    <row r="226" spans="1:96" ht="15.5" x14ac:dyDescent="0.3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</row>
    <row r="227" spans="1:96" ht="15.5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</row>
    <row r="228" spans="1:96" ht="15.5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</row>
    <row r="229" spans="1:96" ht="15.5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</row>
    <row r="230" spans="1:96" ht="15.5" x14ac:dyDescent="0.3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</row>
    <row r="231" spans="1:96" ht="15.5" x14ac:dyDescent="0.3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</row>
    <row r="232" spans="1:96" ht="15.5" x14ac:dyDescent="0.3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</row>
    <row r="233" spans="1:96" ht="15.5" x14ac:dyDescent="0.3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</row>
    <row r="234" spans="1:96" ht="15.5" x14ac:dyDescent="0.3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</row>
    <row r="235" spans="1:96" ht="15.5" x14ac:dyDescent="0.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</row>
    <row r="236" spans="1:96" ht="15.5" x14ac:dyDescent="0.3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</row>
    <row r="237" spans="1:96" ht="15.5" x14ac:dyDescent="0.3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</row>
    <row r="238" spans="1:96" ht="15.5" x14ac:dyDescent="0.3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</row>
    <row r="239" spans="1:96" ht="15.5" x14ac:dyDescent="0.3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</row>
    <row r="240" spans="1:96" ht="15.5" x14ac:dyDescent="0.3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</row>
    <row r="241" spans="1:96" ht="15.5" x14ac:dyDescent="0.3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</row>
    <row r="242" spans="1:96" ht="15.5" x14ac:dyDescent="0.3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</row>
    <row r="243" spans="1:96" ht="15.5" x14ac:dyDescent="0.3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</row>
    <row r="244" spans="1:96" ht="15.5" x14ac:dyDescent="0.3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</row>
    <row r="245" spans="1:96" ht="15.5" x14ac:dyDescent="0.3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</row>
    <row r="246" spans="1:96" ht="15.5" x14ac:dyDescent="0.3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</row>
    <row r="247" spans="1:96" ht="15.5" x14ac:dyDescent="0.3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</row>
    <row r="248" spans="1:96" ht="15.5" x14ac:dyDescent="0.3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</row>
    <row r="249" spans="1:96" ht="15.5" x14ac:dyDescent="0.3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</row>
    <row r="250" spans="1:96" ht="15.5" x14ac:dyDescent="0.3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</row>
    <row r="251" spans="1:96" ht="15.5" x14ac:dyDescent="0.3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</row>
    <row r="252" spans="1:96" ht="15.5" x14ac:dyDescent="0.3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</row>
    <row r="253" spans="1:96" ht="15.5" x14ac:dyDescent="0.3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</row>
    <row r="254" spans="1:96" ht="15.5" x14ac:dyDescent="0.3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</row>
    <row r="255" spans="1:96" ht="15.5" x14ac:dyDescent="0.3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</row>
    <row r="256" spans="1:96" ht="15.5" x14ac:dyDescent="0.3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</row>
    <row r="257" spans="1:96" ht="15.5" x14ac:dyDescent="0.3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</row>
    <row r="258" spans="1:96" ht="15.5" x14ac:dyDescent="0.3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</row>
    <row r="259" spans="1:96" ht="15.5" x14ac:dyDescent="0.3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</row>
    <row r="260" spans="1:96" ht="15.5" x14ac:dyDescent="0.3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</row>
    <row r="261" spans="1:96" ht="15.5" x14ac:dyDescent="0.3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</row>
    <row r="262" spans="1:96" ht="15.5" x14ac:dyDescent="0.3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</row>
    <row r="263" spans="1:96" ht="15.5" x14ac:dyDescent="0.3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</row>
    <row r="264" spans="1:96" ht="15.5" x14ac:dyDescent="0.3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</row>
    <row r="265" spans="1:96" ht="15.5" x14ac:dyDescent="0.3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</row>
    <row r="266" spans="1:96" ht="15.5" x14ac:dyDescent="0.3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</row>
    <row r="267" spans="1:96" ht="15.5" x14ac:dyDescent="0.3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</row>
    <row r="268" spans="1:96" ht="15.5" x14ac:dyDescent="0.3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</row>
    <row r="269" spans="1:96" ht="15.5" x14ac:dyDescent="0.3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</row>
    <row r="270" spans="1:96" ht="15.5" x14ac:dyDescent="0.3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</row>
    <row r="271" spans="1:96" ht="15.5" x14ac:dyDescent="0.3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</row>
    <row r="272" spans="1:96" ht="15.5" x14ac:dyDescent="0.3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</row>
    <row r="273" spans="1:96" ht="15.5" x14ac:dyDescent="0.3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</row>
    <row r="274" spans="1:96" ht="15.5" x14ac:dyDescent="0.3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</row>
    <row r="275" spans="1:96" ht="15.5" x14ac:dyDescent="0.3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</row>
    <row r="276" spans="1:96" ht="15.5" x14ac:dyDescent="0.3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</row>
    <row r="277" spans="1:96" ht="15.5" x14ac:dyDescent="0.3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</row>
    <row r="278" spans="1:96" ht="15.5" x14ac:dyDescent="0.3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</row>
    <row r="279" spans="1:96" ht="15.5" x14ac:dyDescent="0.3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</row>
    <row r="280" spans="1:96" ht="15.5" x14ac:dyDescent="0.3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</row>
    <row r="281" spans="1:96" ht="15.5" x14ac:dyDescent="0.3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</row>
    <row r="282" spans="1:96" ht="15.5" x14ac:dyDescent="0.3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</row>
    <row r="283" spans="1:96" ht="15.5" x14ac:dyDescent="0.3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</row>
    <row r="284" spans="1:96" ht="15.5" x14ac:dyDescent="0.3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</row>
    <row r="285" spans="1:96" ht="15.5" x14ac:dyDescent="0.3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</row>
    <row r="286" spans="1:96" ht="15.5" x14ac:dyDescent="0.3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</row>
    <row r="287" spans="1:96" ht="15.5" x14ac:dyDescent="0.3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</row>
    <row r="288" spans="1:96" ht="15.5" x14ac:dyDescent="0.3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</row>
    <row r="289" spans="1:96" ht="15.5" x14ac:dyDescent="0.3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</row>
    <row r="290" spans="1:96" ht="15.5" x14ac:dyDescent="0.3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</row>
    <row r="291" spans="1:96" ht="15.5" x14ac:dyDescent="0.3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</row>
    <row r="292" spans="1:96" ht="15.5" x14ac:dyDescent="0.3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</row>
    <row r="293" spans="1:96" ht="15.5" x14ac:dyDescent="0.3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</row>
    <row r="294" spans="1:96" ht="15.5" x14ac:dyDescent="0.3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</row>
    <row r="295" spans="1:96" ht="15.5" x14ac:dyDescent="0.3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</row>
    <row r="296" spans="1:96" ht="15.5" x14ac:dyDescent="0.3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</row>
    <row r="297" spans="1:96" ht="15.5" x14ac:dyDescent="0.3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</row>
    <row r="298" spans="1:96" ht="15.5" x14ac:dyDescent="0.3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</row>
    <row r="299" spans="1:96" ht="15.5" x14ac:dyDescent="0.3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</row>
    <row r="300" spans="1:96" ht="15.5" x14ac:dyDescent="0.3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</row>
    <row r="301" spans="1:96" ht="15.5" x14ac:dyDescent="0.3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</row>
    <row r="302" spans="1:96" ht="15.5" x14ac:dyDescent="0.3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</row>
    <row r="303" spans="1:96" ht="15.5" x14ac:dyDescent="0.3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</row>
    <row r="304" spans="1:96" ht="15.5" x14ac:dyDescent="0.3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</row>
    <row r="305" spans="1:96" ht="15.5" x14ac:dyDescent="0.3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</row>
    <row r="306" spans="1:96" ht="15.5" x14ac:dyDescent="0.3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</row>
    <row r="307" spans="1:96" ht="15.5" x14ac:dyDescent="0.3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</row>
    <row r="308" spans="1:96" ht="15.5" x14ac:dyDescent="0.3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</row>
    <row r="309" spans="1:96" ht="15.5" x14ac:dyDescent="0.3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</row>
    <row r="310" spans="1:96" ht="15.5" x14ac:dyDescent="0.3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</row>
    <row r="311" spans="1:96" ht="15.5" x14ac:dyDescent="0.3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</row>
    <row r="312" spans="1:96" ht="15.5" x14ac:dyDescent="0.3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</row>
    <row r="313" spans="1:96" ht="15.5" x14ac:dyDescent="0.3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</row>
    <row r="314" spans="1:96" ht="15.5" x14ac:dyDescent="0.3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</row>
    <row r="315" spans="1:96" ht="15.5" x14ac:dyDescent="0.3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</row>
    <row r="316" spans="1:96" ht="15.5" x14ac:dyDescent="0.3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</row>
    <row r="317" spans="1:96" ht="15.5" x14ac:dyDescent="0.3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</row>
    <row r="318" spans="1:96" ht="15.5" x14ac:dyDescent="0.3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</row>
    <row r="319" spans="1:96" ht="15.5" x14ac:dyDescent="0.3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</row>
    <row r="320" spans="1:96" ht="15.5" x14ac:dyDescent="0.3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</row>
    <row r="321" spans="1:96" ht="15.5" x14ac:dyDescent="0.3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</row>
    <row r="322" spans="1:96" ht="15.5" x14ac:dyDescent="0.3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</row>
    <row r="323" spans="1:96" ht="15.5" x14ac:dyDescent="0.3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</row>
    <row r="324" spans="1:96" ht="15.5" x14ac:dyDescent="0.3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</row>
    <row r="325" spans="1:96" ht="15.5" x14ac:dyDescent="0.3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</row>
    <row r="326" spans="1:96" ht="15.5" x14ac:dyDescent="0.3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</row>
    <row r="327" spans="1:96" ht="15.5" x14ac:dyDescent="0.3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</row>
    <row r="328" spans="1:96" ht="15.5" x14ac:dyDescent="0.3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</row>
    <row r="329" spans="1:96" ht="15.5" x14ac:dyDescent="0.3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</row>
    <row r="330" spans="1:96" ht="15.5" x14ac:dyDescent="0.3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</row>
    <row r="331" spans="1:96" ht="15.5" x14ac:dyDescent="0.3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</row>
    <row r="332" spans="1:96" ht="15.5" x14ac:dyDescent="0.3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</row>
    <row r="333" spans="1:96" ht="15.5" x14ac:dyDescent="0.3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</row>
    <row r="334" spans="1:96" ht="15.5" x14ac:dyDescent="0.3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</row>
    <row r="335" spans="1:96" ht="15.5" x14ac:dyDescent="0.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</row>
    <row r="336" spans="1:96" ht="15.5" x14ac:dyDescent="0.3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</row>
    <row r="337" spans="1:96" ht="15.5" x14ac:dyDescent="0.3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</row>
    <row r="338" spans="1:96" ht="15.5" x14ac:dyDescent="0.3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</row>
    <row r="339" spans="1:96" ht="15.5" x14ac:dyDescent="0.3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</row>
    <row r="340" spans="1:96" ht="15.5" x14ac:dyDescent="0.3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</row>
    <row r="341" spans="1:96" ht="15.5" x14ac:dyDescent="0.3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</row>
    <row r="342" spans="1:96" ht="15.5" x14ac:dyDescent="0.3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</row>
    <row r="343" spans="1:96" ht="15.5" x14ac:dyDescent="0.3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</row>
    <row r="344" spans="1:96" ht="15.5" x14ac:dyDescent="0.3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</row>
    <row r="345" spans="1:96" ht="15.5" x14ac:dyDescent="0.3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</row>
    <row r="346" spans="1:96" ht="15.5" x14ac:dyDescent="0.3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</row>
    <row r="347" spans="1:96" ht="15.5" x14ac:dyDescent="0.3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</row>
    <row r="348" spans="1:96" ht="15.5" x14ac:dyDescent="0.3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</row>
    <row r="349" spans="1:96" ht="15.5" x14ac:dyDescent="0.3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</row>
    <row r="350" spans="1:96" ht="15.5" x14ac:dyDescent="0.3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</row>
    <row r="351" spans="1:96" ht="15.5" x14ac:dyDescent="0.3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</row>
    <row r="352" spans="1:96" ht="15.5" x14ac:dyDescent="0.3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</row>
    <row r="353" spans="1:96" ht="15.5" x14ac:dyDescent="0.3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</row>
    <row r="354" spans="1:96" ht="15.5" x14ac:dyDescent="0.3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</row>
    <row r="355" spans="1:96" ht="15.5" x14ac:dyDescent="0.3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</row>
    <row r="356" spans="1:96" ht="15.5" x14ac:dyDescent="0.3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</row>
    <row r="357" spans="1:96" ht="15.5" x14ac:dyDescent="0.3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</row>
    <row r="358" spans="1:96" ht="15.5" x14ac:dyDescent="0.3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</row>
    <row r="359" spans="1:96" ht="15.5" x14ac:dyDescent="0.3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</row>
    <row r="360" spans="1:96" ht="15.5" x14ac:dyDescent="0.3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</row>
    <row r="361" spans="1:96" ht="15.5" x14ac:dyDescent="0.3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</row>
    <row r="362" spans="1:96" ht="15.5" x14ac:dyDescent="0.3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</row>
    <row r="363" spans="1:96" ht="15.5" x14ac:dyDescent="0.3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</row>
    <row r="364" spans="1:96" ht="15.5" x14ac:dyDescent="0.3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</row>
    <row r="365" spans="1:96" ht="15.5" x14ac:dyDescent="0.3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</row>
    <row r="366" spans="1:96" ht="15.5" x14ac:dyDescent="0.3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</row>
    <row r="367" spans="1:96" ht="15.5" x14ac:dyDescent="0.3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</row>
    <row r="368" spans="1:96" ht="15.5" x14ac:dyDescent="0.3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</row>
    <row r="369" spans="1:96" ht="15.5" x14ac:dyDescent="0.3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</row>
    <row r="370" spans="1:96" ht="15.5" x14ac:dyDescent="0.3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</row>
    <row r="371" spans="1:96" ht="15.5" x14ac:dyDescent="0.3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</row>
    <row r="372" spans="1:96" ht="15.5" x14ac:dyDescent="0.3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</row>
    <row r="373" spans="1:96" ht="15.5" x14ac:dyDescent="0.3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</row>
    <row r="374" spans="1:96" ht="15.5" x14ac:dyDescent="0.3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</row>
    <row r="375" spans="1:96" ht="15.5" x14ac:dyDescent="0.3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</row>
    <row r="376" spans="1:96" ht="15.5" x14ac:dyDescent="0.3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</row>
    <row r="377" spans="1:96" ht="15.5" x14ac:dyDescent="0.3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</row>
    <row r="378" spans="1:96" ht="15.5" x14ac:dyDescent="0.3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</row>
    <row r="379" spans="1:96" ht="15.5" x14ac:dyDescent="0.3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</row>
    <row r="380" spans="1:96" ht="15.5" x14ac:dyDescent="0.3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</row>
    <row r="381" spans="1:96" ht="15.5" x14ac:dyDescent="0.3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</row>
    <row r="382" spans="1:96" ht="15.5" x14ac:dyDescent="0.3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</row>
    <row r="383" spans="1:96" ht="15.5" x14ac:dyDescent="0.3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</row>
    <row r="384" spans="1:96" ht="15.5" x14ac:dyDescent="0.3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</row>
    <row r="385" spans="1:96" ht="15.5" x14ac:dyDescent="0.3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</row>
    <row r="386" spans="1:96" ht="15.5" x14ac:dyDescent="0.3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</row>
    <row r="387" spans="1:96" ht="15.5" x14ac:dyDescent="0.3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</row>
    <row r="388" spans="1:96" ht="15.5" x14ac:dyDescent="0.3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</row>
    <row r="389" spans="1:96" ht="15.5" x14ac:dyDescent="0.3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</row>
    <row r="390" spans="1:96" ht="15.5" x14ac:dyDescent="0.3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</row>
    <row r="391" spans="1:96" ht="15.5" x14ac:dyDescent="0.3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</row>
    <row r="392" spans="1:96" ht="15.5" x14ac:dyDescent="0.3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</row>
    <row r="393" spans="1:96" ht="15.5" x14ac:dyDescent="0.3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</row>
    <row r="394" spans="1:96" ht="15.5" x14ac:dyDescent="0.3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</row>
    <row r="395" spans="1:96" ht="15.5" x14ac:dyDescent="0.3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26"/>
      <c r="CQ395" s="26"/>
      <c r="CR395" s="26"/>
    </row>
    <row r="396" spans="1:96" ht="15.5" x14ac:dyDescent="0.3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</row>
    <row r="397" spans="1:96" ht="15.5" x14ac:dyDescent="0.3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</row>
    <row r="398" spans="1:96" ht="15.5" x14ac:dyDescent="0.3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</row>
    <row r="399" spans="1:96" ht="15.5" x14ac:dyDescent="0.3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</row>
    <row r="400" spans="1:96" ht="15.5" x14ac:dyDescent="0.3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</row>
    <row r="401" spans="1:96" ht="15.5" x14ac:dyDescent="0.3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</row>
    <row r="402" spans="1:96" ht="15.5" x14ac:dyDescent="0.3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26"/>
      <c r="CQ402" s="26"/>
      <c r="CR402" s="26"/>
    </row>
    <row r="403" spans="1:96" ht="15.5" x14ac:dyDescent="0.3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</row>
    <row r="404" spans="1:96" ht="15.5" x14ac:dyDescent="0.3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</row>
    <row r="405" spans="1:96" ht="15.5" x14ac:dyDescent="0.3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</row>
    <row r="406" spans="1:96" ht="15.5" x14ac:dyDescent="0.3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</row>
    <row r="407" spans="1:96" ht="15.5" x14ac:dyDescent="0.3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</row>
    <row r="408" spans="1:96" ht="15.5" x14ac:dyDescent="0.3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</row>
    <row r="409" spans="1:96" ht="15.5" x14ac:dyDescent="0.3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</row>
    <row r="410" spans="1:96" ht="15.5" x14ac:dyDescent="0.3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</row>
    <row r="411" spans="1:96" ht="15.5" x14ac:dyDescent="0.3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</row>
    <row r="412" spans="1:96" ht="15.5" x14ac:dyDescent="0.3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</row>
    <row r="413" spans="1:96" ht="15.5" x14ac:dyDescent="0.3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</row>
    <row r="414" spans="1:96" ht="15.5" x14ac:dyDescent="0.3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</row>
    <row r="415" spans="1:96" ht="15.5" x14ac:dyDescent="0.3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</row>
    <row r="416" spans="1:96" ht="15.5" x14ac:dyDescent="0.3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</row>
    <row r="417" spans="1:96" ht="15.5" x14ac:dyDescent="0.3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</row>
    <row r="418" spans="1:96" ht="15.5" x14ac:dyDescent="0.3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</row>
    <row r="419" spans="1:96" ht="15.5" x14ac:dyDescent="0.3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</row>
    <row r="420" spans="1:96" ht="15.5" x14ac:dyDescent="0.3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</row>
    <row r="421" spans="1:96" ht="15.5" x14ac:dyDescent="0.3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</row>
    <row r="422" spans="1:96" ht="15.5" x14ac:dyDescent="0.3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/>
      <c r="CP422" s="26"/>
      <c r="CQ422" s="26"/>
      <c r="CR422" s="26"/>
    </row>
    <row r="423" spans="1:96" ht="15.5" x14ac:dyDescent="0.3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26"/>
      <c r="CG423" s="26"/>
      <c r="CH423" s="26"/>
      <c r="CI423" s="26"/>
      <c r="CJ423" s="26"/>
      <c r="CK423" s="26"/>
      <c r="CL423" s="26"/>
      <c r="CM423" s="26"/>
      <c r="CN423" s="26"/>
      <c r="CO423" s="26"/>
      <c r="CP423" s="26"/>
      <c r="CQ423" s="26"/>
      <c r="CR423" s="26"/>
    </row>
    <row r="424" spans="1:96" ht="15.5" x14ac:dyDescent="0.3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</row>
    <row r="425" spans="1:96" ht="15.5" x14ac:dyDescent="0.3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26"/>
      <c r="CL425" s="26"/>
      <c r="CM425" s="26"/>
      <c r="CN425" s="26"/>
      <c r="CO425" s="26"/>
      <c r="CP425" s="26"/>
      <c r="CQ425" s="26"/>
      <c r="CR425" s="26"/>
    </row>
    <row r="426" spans="1:96" ht="15.5" x14ac:dyDescent="0.3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</row>
    <row r="427" spans="1:96" ht="15.5" x14ac:dyDescent="0.3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</row>
    <row r="428" spans="1:96" ht="15.5" x14ac:dyDescent="0.3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</row>
    <row r="429" spans="1:96" ht="15.5" x14ac:dyDescent="0.3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26"/>
      <c r="CQ429" s="26"/>
      <c r="CR429" s="26"/>
    </row>
    <row r="430" spans="1:96" ht="15.5" x14ac:dyDescent="0.3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</row>
    <row r="431" spans="1:96" ht="15.5" x14ac:dyDescent="0.3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26"/>
      <c r="CQ431" s="26"/>
      <c r="CR431" s="26"/>
    </row>
    <row r="432" spans="1:96" ht="15.5" x14ac:dyDescent="0.3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</row>
    <row r="433" spans="1:96" ht="15.5" x14ac:dyDescent="0.3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</row>
    <row r="434" spans="1:96" ht="15.5" x14ac:dyDescent="0.3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</row>
    <row r="435" spans="1:96" ht="15.5" x14ac:dyDescent="0.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</row>
    <row r="436" spans="1:96" ht="15.5" x14ac:dyDescent="0.3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</row>
    <row r="437" spans="1:96" ht="15.5" x14ac:dyDescent="0.3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</row>
    <row r="438" spans="1:96" ht="15.5" x14ac:dyDescent="0.3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26"/>
      <c r="CQ438" s="26"/>
      <c r="CR438" s="26"/>
    </row>
    <row r="439" spans="1:96" ht="15.5" x14ac:dyDescent="0.3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/>
      <c r="CO439" s="26"/>
      <c r="CP439" s="26"/>
      <c r="CQ439" s="26"/>
      <c r="CR439" s="26"/>
    </row>
    <row r="440" spans="1:96" ht="15.5" x14ac:dyDescent="0.3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</row>
    <row r="441" spans="1:96" ht="15.5" x14ac:dyDescent="0.3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</row>
    <row r="442" spans="1:96" ht="15.5" x14ac:dyDescent="0.3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</row>
    <row r="443" spans="1:96" ht="15.5" x14ac:dyDescent="0.3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</row>
    <row r="444" spans="1:96" ht="15.5" x14ac:dyDescent="0.3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</row>
    <row r="445" spans="1:96" ht="15.5" x14ac:dyDescent="0.3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</row>
    <row r="446" spans="1:96" ht="15.5" x14ac:dyDescent="0.3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</row>
    <row r="447" spans="1:96" ht="15.5" x14ac:dyDescent="0.3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</row>
    <row r="448" spans="1:96" ht="15.5" x14ac:dyDescent="0.3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6"/>
      <c r="CC448" s="26"/>
      <c r="CD448" s="26"/>
      <c r="CE448" s="26"/>
      <c r="CF448" s="26"/>
      <c r="CG448" s="26"/>
      <c r="CH448" s="26"/>
      <c r="CI448" s="26"/>
      <c r="CJ448" s="26"/>
      <c r="CK448" s="26"/>
      <c r="CL448" s="26"/>
      <c r="CM448" s="26"/>
      <c r="CN448" s="26"/>
      <c r="CO448" s="26"/>
      <c r="CP448" s="26"/>
      <c r="CQ448" s="26"/>
      <c r="CR448" s="26"/>
    </row>
    <row r="449" spans="1:96" ht="15.5" x14ac:dyDescent="0.3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6"/>
      <c r="CC449" s="26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</row>
    <row r="450" spans="1:96" ht="15.5" x14ac:dyDescent="0.3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6"/>
      <c r="CC450" s="26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</row>
    <row r="451" spans="1:96" ht="15.5" x14ac:dyDescent="0.3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6"/>
      <c r="CC451" s="26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/>
      <c r="CP451" s="26"/>
      <c r="CQ451" s="26"/>
      <c r="CR451" s="26"/>
    </row>
    <row r="452" spans="1:96" ht="15.5" x14ac:dyDescent="0.3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6"/>
      <c r="CC452" s="26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</row>
    <row r="453" spans="1:96" ht="15.5" x14ac:dyDescent="0.3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6"/>
      <c r="CC453" s="26"/>
      <c r="CD453" s="26"/>
      <c r="CE453" s="26"/>
      <c r="CF453" s="26"/>
      <c r="CG453" s="26"/>
      <c r="CH453" s="26"/>
      <c r="CI453" s="26"/>
      <c r="CJ453" s="26"/>
      <c r="CK453" s="26"/>
      <c r="CL453" s="26"/>
      <c r="CM453" s="26"/>
      <c r="CN453" s="26"/>
      <c r="CO453" s="26"/>
      <c r="CP453" s="26"/>
      <c r="CQ453" s="26"/>
      <c r="CR453" s="26"/>
    </row>
    <row r="454" spans="1:96" ht="15.5" x14ac:dyDescent="0.3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6"/>
      <c r="CC454" s="26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</row>
    <row r="455" spans="1:96" ht="15.5" x14ac:dyDescent="0.3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</row>
    <row r="456" spans="1:96" ht="15.5" x14ac:dyDescent="0.3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6"/>
      <c r="CC456" s="26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</row>
    <row r="457" spans="1:96" ht="15.5" x14ac:dyDescent="0.3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  <c r="BU457" s="26"/>
      <c r="BV457" s="26"/>
      <c r="BW457" s="26"/>
      <c r="BX457" s="26"/>
      <c r="BY457" s="26"/>
      <c r="BZ457" s="26"/>
      <c r="CA457" s="26"/>
      <c r="CB457" s="26"/>
      <c r="CC457" s="26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</row>
    <row r="458" spans="1:96" ht="15.5" x14ac:dyDescent="0.3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6"/>
      <c r="CC458" s="26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</row>
    <row r="459" spans="1:96" ht="15.5" x14ac:dyDescent="0.3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  <c r="BU459" s="26"/>
      <c r="BV459" s="26"/>
      <c r="BW459" s="26"/>
      <c r="BX459" s="26"/>
      <c r="BY459" s="26"/>
      <c r="BZ459" s="26"/>
      <c r="CA459" s="26"/>
      <c r="CB459" s="26"/>
      <c r="CC459" s="26"/>
      <c r="CD459" s="26"/>
      <c r="CE459" s="26"/>
      <c r="CF459" s="26"/>
      <c r="CG459" s="26"/>
      <c r="CH459" s="26"/>
      <c r="CI459" s="26"/>
      <c r="CJ459" s="26"/>
      <c r="CK459" s="26"/>
      <c r="CL459" s="26"/>
      <c r="CM459" s="26"/>
      <c r="CN459" s="26"/>
      <c r="CO459" s="26"/>
      <c r="CP459" s="26"/>
      <c r="CQ459" s="26"/>
      <c r="CR459" s="26"/>
    </row>
    <row r="460" spans="1:96" ht="15.5" x14ac:dyDescent="0.3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6"/>
      <c r="CC460" s="26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</row>
    <row r="461" spans="1:96" ht="15.5" x14ac:dyDescent="0.3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6"/>
      <c r="CC461" s="26"/>
      <c r="CD461" s="26"/>
      <c r="CE461" s="26"/>
      <c r="CF461" s="26"/>
      <c r="CG461" s="26"/>
      <c r="CH461" s="26"/>
      <c r="CI461" s="26"/>
      <c r="CJ461" s="26"/>
      <c r="CK461" s="26"/>
      <c r="CL461" s="26"/>
      <c r="CM461" s="26"/>
      <c r="CN461" s="26"/>
      <c r="CO461" s="26"/>
      <c r="CP461" s="26"/>
      <c r="CQ461" s="26"/>
      <c r="CR461" s="26"/>
    </row>
    <row r="462" spans="1:96" ht="15.5" x14ac:dyDescent="0.3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6"/>
      <c r="CC462" s="26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</row>
    <row r="463" spans="1:96" ht="15.5" x14ac:dyDescent="0.3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6"/>
      <c r="CC463" s="26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</row>
    <row r="464" spans="1:96" ht="15.5" x14ac:dyDescent="0.3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6"/>
      <c r="CC464" s="26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</row>
    <row r="465" spans="1:96" ht="15.5" x14ac:dyDescent="0.3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6"/>
      <c r="CC465" s="26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</row>
    <row r="466" spans="1:96" ht="15.5" x14ac:dyDescent="0.3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/>
      <c r="BY466" s="26"/>
      <c r="BZ466" s="26"/>
      <c r="CA466" s="26"/>
      <c r="CB466" s="26"/>
      <c r="CC466" s="26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</row>
    <row r="467" spans="1:96" ht="15.5" x14ac:dyDescent="0.3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</row>
    <row r="468" spans="1:96" ht="15.5" x14ac:dyDescent="0.3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</row>
    <row r="469" spans="1:96" ht="15.5" x14ac:dyDescent="0.3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6"/>
      <c r="CC469" s="26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/>
    </row>
    <row r="470" spans="1:96" ht="15.5" x14ac:dyDescent="0.3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6"/>
      <c r="CC470" s="26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</row>
    <row r="471" spans="1:96" ht="15.5" x14ac:dyDescent="0.3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6"/>
      <c r="CC471" s="26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</row>
    <row r="472" spans="1:96" ht="15.5" x14ac:dyDescent="0.3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6"/>
      <c r="CC472" s="26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</row>
    <row r="473" spans="1:96" ht="15.5" x14ac:dyDescent="0.3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6"/>
      <c r="CC473" s="26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</row>
    <row r="474" spans="1:96" ht="15.5" x14ac:dyDescent="0.3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6"/>
      <c r="CC474" s="26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</row>
    <row r="475" spans="1:96" ht="15.5" x14ac:dyDescent="0.3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  <c r="BU475" s="26"/>
      <c r="BV475" s="26"/>
      <c r="BW475" s="26"/>
      <c r="BX475" s="26"/>
      <c r="BY475" s="26"/>
      <c r="BZ475" s="26"/>
      <c r="CA475" s="26"/>
      <c r="CB475" s="26"/>
      <c r="CC475" s="26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</row>
    <row r="476" spans="1:96" ht="15.5" x14ac:dyDescent="0.3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6"/>
      <c r="CC476" s="26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</row>
    <row r="477" spans="1:96" ht="15.5" x14ac:dyDescent="0.3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6"/>
      <c r="CC477" s="26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</row>
    <row r="478" spans="1:96" ht="15.5" x14ac:dyDescent="0.3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6"/>
      <c r="CC478" s="26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</row>
    <row r="479" spans="1:96" ht="15.5" x14ac:dyDescent="0.3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/>
      <c r="BX479" s="26"/>
      <c r="BY479" s="26"/>
      <c r="BZ479" s="26"/>
      <c r="CA479" s="26"/>
      <c r="CB479" s="26"/>
      <c r="CC479" s="26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</row>
    <row r="480" spans="1:96" ht="15.5" x14ac:dyDescent="0.3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/>
      <c r="BX480" s="26"/>
      <c r="BY480" s="26"/>
      <c r="BZ480" s="26"/>
      <c r="CA480" s="26"/>
      <c r="CB480" s="26"/>
      <c r="CC480" s="26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</row>
    <row r="481" spans="1:96" ht="15.5" x14ac:dyDescent="0.3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6"/>
      <c r="CC481" s="26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</row>
    <row r="482" spans="1:96" ht="15.5" x14ac:dyDescent="0.3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6"/>
      <c r="CC482" s="26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</row>
    <row r="483" spans="1:96" ht="15.5" x14ac:dyDescent="0.3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6"/>
      <c r="CC483" s="26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</row>
    <row r="484" spans="1:96" ht="15.5" x14ac:dyDescent="0.3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6"/>
      <c r="CC484" s="26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</row>
    <row r="485" spans="1:96" ht="15.5" x14ac:dyDescent="0.3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  <c r="BU485" s="26"/>
      <c r="BV485" s="26"/>
      <c r="BW485" s="26"/>
      <c r="BX485" s="26"/>
      <c r="BY485" s="26"/>
      <c r="BZ485" s="26"/>
      <c r="CA485" s="26"/>
      <c r="CB485" s="26"/>
      <c r="CC485" s="26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</row>
    <row r="486" spans="1:96" ht="15.5" x14ac:dyDescent="0.3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6"/>
      <c r="CC486" s="26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</row>
    <row r="487" spans="1:96" ht="15.5" x14ac:dyDescent="0.3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6"/>
      <c r="CC487" s="26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</row>
    <row r="488" spans="1:96" ht="15.5" x14ac:dyDescent="0.3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</row>
    <row r="489" spans="1:96" ht="15.5" x14ac:dyDescent="0.3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/>
      <c r="CQ489" s="26"/>
      <c r="CR489" s="26"/>
    </row>
    <row r="490" spans="1:96" ht="15.5" x14ac:dyDescent="0.3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/>
      <c r="BX490" s="26"/>
      <c r="BY490" s="26"/>
      <c r="BZ490" s="26"/>
      <c r="CA490" s="26"/>
      <c r="CB490" s="26"/>
      <c r="CC490" s="26"/>
      <c r="CD490" s="26"/>
      <c r="CE490" s="26"/>
      <c r="CF490" s="26"/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</row>
    <row r="491" spans="1:96" ht="15.5" x14ac:dyDescent="0.3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6"/>
      <c r="CC491" s="26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</row>
    <row r="492" spans="1:96" ht="15.5" x14ac:dyDescent="0.3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6"/>
      <c r="CC492" s="26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</row>
    <row r="493" spans="1:96" ht="15.5" x14ac:dyDescent="0.3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6"/>
      <c r="CC493" s="26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</row>
    <row r="494" spans="1:96" ht="15.5" x14ac:dyDescent="0.3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6"/>
      <c r="CC494" s="26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</row>
    <row r="495" spans="1:96" ht="15.5" x14ac:dyDescent="0.3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6"/>
      <c r="CC495" s="26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</row>
    <row r="496" spans="1:96" ht="15.5" x14ac:dyDescent="0.3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6"/>
      <c r="CC496" s="26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</row>
    <row r="497" spans="1:96" ht="15.5" x14ac:dyDescent="0.3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6"/>
      <c r="CC497" s="26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/>
      <c r="CQ497" s="26"/>
      <c r="CR497" s="26"/>
    </row>
    <row r="498" spans="1:96" ht="15.5" x14ac:dyDescent="0.3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6"/>
      <c r="CC498" s="26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</row>
    <row r="499" spans="1:96" ht="15.5" x14ac:dyDescent="0.3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6"/>
      <c r="CC499" s="26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</row>
    <row r="500" spans="1:96" ht="15.5" x14ac:dyDescent="0.3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</row>
    <row r="501" spans="1:96" ht="15.5" x14ac:dyDescent="0.3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</row>
    <row r="502" spans="1:96" ht="15.5" x14ac:dyDescent="0.3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6"/>
      <c r="CC502" s="26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</row>
    <row r="503" spans="1:96" ht="15.5" x14ac:dyDescent="0.3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6"/>
      <c r="CC503" s="26"/>
      <c r="CD503" s="26"/>
      <c r="CE503" s="26"/>
      <c r="CF503" s="26"/>
      <c r="CG503" s="26"/>
      <c r="CH503" s="26"/>
      <c r="CI503" s="26"/>
      <c r="CJ503" s="26"/>
      <c r="CK503" s="26"/>
      <c r="CL503" s="26"/>
      <c r="CM503" s="26"/>
      <c r="CN503" s="26"/>
      <c r="CO503" s="26"/>
      <c r="CP503" s="26"/>
      <c r="CQ503" s="26"/>
      <c r="CR503" s="26"/>
    </row>
    <row r="504" spans="1:96" ht="15.5" x14ac:dyDescent="0.3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6"/>
      <c r="CC504" s="26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</row>
    <row r="505" spans="1:96" ht="15.5" x14ac:dyDescent="0.3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6"/>
      <c r="CC505" s="26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</row>
    <row r="506" spans="1:96" ht="15.5" x14ac:dyDescent="0.3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6"/>
      <c r="CC506" s="26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</row>
    <row r="507" spans="1:96" ht="15.5" x14ac:dyDescent="0.3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6"/>
      <c r="CC507" s="26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</row>
    <row r="508" spans="1:96" ht="15.5" x14ac:dyDescent="0.3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6"/>
      <c r="CC508" s="26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</row>
    <row r="509" spans="1:96" ht="15.5" x14ac:dyDescent="0.3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</row>
    <row r="510" spans="1:96" ht="15.5" x14ac:dyDescent="0.3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</row>
    <row r="511" spans="1:96" ht="15.5" x14ac:dyDescent="0.3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6"/>
      <c r="CC511" s="26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</row>
    <row r="512" spans="1:96" ht="15.5" x14ac:dyDescent="0.3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6"/>
      <c r="CC512" s="26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</row>
    <row r="513" spans="1:96" ht="15.5" x14ac:dyDescent="0.3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6"/>
      <c r="CC513" s="26"/>
      <c r="CD513" s="26"/>
      <c r="CE513" s="26"/>
      <c r="CF513" s="26"/>
      <c r="CG513" s="26"/>
      <c r="CH513" s="26"/>
      <c r="CI513" s="26"/>
      <c r="CJ513" s="26"/>
      <c r="CK513" s="26"/>
      <c r="CL513" s="26"/>
      <c r="CM513" s="26"/>
      <c r="CN513" s="26"/>
      <c r="CO513" s="26"/>
      <c r="CP513" s="26"/>
      <c r="CQ513" s="26"/>
      <c r="CR513" s="26"/>
    </row>
    <row r="514" spans="1:96" ht="15.5" x14ac:dyDescent="0.3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6"/>
      <c r="CC514" s="26"/>
      <c r="CD514" s="26"/>
      <c r="CE514" s="26"/>
      <c r="CF514" s="26"/>
      <c r="CG514" s="26"/>
      <c r="CH514" s="26"/>
      <c r="CI514" s="26"/>
      <c r="CJ514" s="26"/>
      <c r="CK514" s="26"/>
      <c r="CL514" s="26"/>
      <c r="CM514" s="26"/>
      <c r="CN514" s="26"/>
      <c r="CO514" s="26"/>
      <c r="CP514" s="26"/>
      <c r="CQ514" s="26"/>
      <c r="CR514" s="26"/>
    </row>
    <row r="515" spans="1:96" ht="15.5" x14ac:dyDescent="0.3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6"/>
      <c r="CC515" s="26"/>
      <c r="CD515" s="26"/>
      <c r="CE515" s="26"/>
      <c r="CF515" s="26"/>
      <c r="CG515" s="26"/>
      <c r="CH515" s="26"/>
      <c r="CI515" s="26"/>
      <c r="CJ515" s="26"/>
      <c r="CK515" s="26"/>
      <c r="CL515" s="26"/>
      <c r="CM515" s="26"/>
      <c r="CN515" s="26"/>
      <c r="CO515" s="26"/>
      <c r="CP515" s="26"/>
      <c r="CQ515" s="26"/>
      <c r="CR515" s="26"/>
    </row>
    <row r="516" spans="1:96" ht="15.5" x14ac:dyDescent="0.3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  <c r="BO516" s="26"/>
      <c r="BP516" s="26"/>
      <c r="BQ516" s="26"/>
      <c r="BR516" s="26"/>
      <c r="BS516" s="26"/>
      <c r="BT516" s="26"/>
      <c r="BU516" s="26"/>
      <c r="BV516" s="26"/>
      <c r="BW516" s="26"/>
      <c r="BX516" s="26"/>
      <c r="BY516" s="26"/>
      <c r="BZ516" s="26"/>
      <c r="CA516" s="26"/>
      <c r="CB516" s="26"/>
      <c r="CC516" s="26"/>
      <c r="CD516" s="26"/>
      <c r="CE516" s="26"/>
      <c r="CF516" s="26"/>
      <c r="CG516" s="26"/>
      <c r="CH516" s="26"/>
      <c r="CI516" s="26"/>
      <c r="CJ516" s="26"/>
      <c r="CK516" s="26"/>
      <c r="CL516" s="26"/>
      <c r="CM516" s="26"/>
      <c r="CN516" s="26"/>
      <c r="CO516" s="26"/>
      <c r="CP516" s="26"/>
      <c r="CQ516" s="26"/>
      <c r="CR516" s="26"/>
    </row>
    <row r="517" spans="1:96" ht="15.5" x14ac:dyDescent="0.3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6"/>
      <c r="CC517" s="26"/>
      <c r="CD517" s="26"/>
      <c r="CE517" s="26"/>
      <c r="CF517" s="26"/>
      <c r="CG517" s="26"/>
      <c r="CH517" s="26"/>
      <c r="CI517" s="26"/>
      <c r="CJ517" s="26"/>
      <c r="CK517" s="26"/>
      <c r="CL517" s="26"/>
      <c r="CM517" s="26"/>
      <c r="CN517" s="26"/>
      <c r="CO517" s="26"/>
      <c r="CP517" s="26"/>
      <c r="CQ517" s="26"/>
      <c r="CR517" s="26"/>
    </row>
    <row r="518" spans="1:96" ht="15.5" x14ac:dyDescent="0.3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 s="26"/>
      <c r="CO518" s="26"/>
      <c r="CP518" s="26"/>
      <c r="CQ518" s="26"/>
      <c r="CR518" s="26"/>
    </row>
    <row r="519" spans="1:96" ht="15.5" x14ac:dyDescent="0.3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6"/>
      <c r="CC519" s="26"/>
      <c r="CD519" s="26"/>
      <c r="CE519" s="26"/>
      <c r="CF519" s="26"/>
      <c r="CG519" s="26"/>
      <c r="CH519" s="26"/>
      <c r="CI519" s="26"/>
      <c r="CJ519" s="26"/>
      <c r="CK519" s="26"/>
      <c r="CL519" s="26"/>
      <c r="CM519" s="26"/>
      <c r="CN519" s="26"/>
      <c r="CO519" s="26"/>
      <c r="CP519" s="26"/>
      <c r="CQ519" s="26"/>
      <c r="CR519" s="26"/>
    </row>
    <row r="520" spans="1:96" ht="15.5" x14ac:dyDescent="0.3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6"/>
      <c r="CC520" s="26"/>
      <c r="CD520" s="26"/>
      <c r="CE520" s="26"/>
      <c r="CF520" s="26"/>
      <c r="CG520" s="26"/>
      <c r="CH520" s="26"/>
      <c r="CI520" s="26"/>
      <c r="CJ520" s="26"/>
      <c r="CK520" s="26"/>
      <c r="CL520" s="26"/>
      <c r="CM520" s="26"/>
      <c r="CN520" s="26"/>
      <c r="CO520" s="26"/>
      <c r="CP520" s="26"/>
      <c r="CQ520" s="26"/>
      <c r="CR520" s="26"/>
    </row>
    <row r="521" spans="1:96" ht="15.5" x14ac:dyDescent="0.3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 s="26"/>
      <c r="CP521" s="26"/>
      <c r="CQ521" s="26"/>
      <c r="CR521" s="26"/>
    </row>
    <row r="522" spans="1:96" ht="15.5" x14ac:dyDescent="0.3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6"/>
      <c r="CC522" s="26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 s="26"/>
      <c r="CP522" s="26"/>
      <c r="CQ522" s="26"/>
      <c r="CR522" s="26"/>
    </row>
    <row r="523" spans="1:96" ht="15.5" x14ac:dyDescent="0.3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 s="26"/>
      <c r="CP523" s="26"/>
      <c r="CQ523" s="26"/>
      <c r="CR523" s="26"/>
    </row>
    <row r="524" spans="1:96" ht="15.5" x14ac:dyDescent="0.3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 s="26"/>
      <c r="CP524" s="26"/>
      <c r="CQ524" s="26"/>
      <c r="CR524" s="26"/>
    </row>
    <row r="525" spans="1:96" ht="15.5" x14ac:dyDescent="0.3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 s="26"/>
      <c r="CP525" s="26"/>
      <c r="CQ525" s="26"/>
      <c r="CR525" s="26"/>
    </row>
    <row r="526" spans="1:96" ht="15.5" x14ac:dyDescent="0.3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26"/>
      <c r="CG526" s="26"/>
      <c r="CH526" s="26"/>
      <c r="CI526" s="26"/>
      <c r="CJ526" s="26"/>
      <c r="CK526" s="26"/>
      <c r="CL526" s="26"/>
      <c r="CM526" s="26"/>
      <c r="CN526" s="26"/>
      <c r="CO526" s="26"/>
      <c r="CP526" s="26"/>
      <c r="CQ526" s="26"/>
      <c r="CR526" s="26"/>
    </row>
    <row r="527" spans="1:96" ht="15.5" x14ac:dyDescent="0.3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6"/>
      <c r="CC527" s="26"/>
      <c r="CD527" s="26"/>
      <c r="CE527" s="26"/>
      <c r="CF527" s="26"/>
      <c r="CG527" s="26"/>
      <c r="CH527" s="26"/>
      <c r="CI527" s="26"/>
      <c r="CJ527" s="26"/>
      <c r="CK527" s="26"/>
      <c r="CL527" s="26"/>
      <c r="CM527" s="26"/>
      <c r="CN527" s="26"/>
      <c r="CO527" s="26"/>
      <c r="CP527" s="26"/>
      <c r="CQ527" s="26"/>
      <c r="CR527" s="26"/>
    </row>
    <row r="528" spans="1:96" ht="15.5" x14ac:dyDescent="0.3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6"/>
      <c r="CC528" s="26"/>
      <c r="CD528" s="26"/>
      <c r="CE528" s="26"/>
      <c r="CF528" s="26"/>
      <c r="CG528" s="26"/>
      <c r="CH528" s="26"/>
      <c r="CI528" s="26"/>
      <c r="CJ528" s="26"/>
      <c r="CK528" s="26"/>
      <c r="CL528" s="26"/>
      <c r="CM528" s="26"/>
      <c r="CN528" s="26"/>
      <c r="CO528" s="26"/>
      <c r="CP528" s="26"/>
      <c r="CQ528" s="26"/>
      <c r="CR528" s="26"/>
    </row>
    <row r="529" spans="1:96" ht="15.5" x14ac:dyDescent="0.3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6"/>
      <c r="CC529" s="26"/>
      <c r="CD529" s="26"/>
      <c r="CE529" s="26"/>
      <c r="CF529" s="26"/>
      <c r="CG529" s="26"/>
      <c r="CH529" s="26"/>
      <c r="CI529" s="26"/>
      <c r="CJ529" s="26"/>
      <c r="CK529" s="26"/>
      <c r="CL529" s="26"/>
      <c r="CM529" s="26"/>
      <c r="CN529" s="26"/>
      <c r="CO529" s="26"/>
      <c r="CP529" s="26"/>
      <c r="CQ529" s="26"/>
      <c r="CR529" s="26"/>
    </row>
    <row r="530" spans="1:96" ht="15.5" x14ac:dyDescent="0.3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26"/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</row>
    <row r="531" spans="1:96" ht="15.5" x14ac:dyDescent="0.3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26"/>
      <c r="CG531" s="26"/>
      <c r="CH531" s="26"/>
      <c r="CI531" s="26"/>
      <c r="CJ531" s="26"/>
      <c r="CK531" s="26"/>
      <c r="CL531" s="26"/>
      <c r="CM531" s="26"/>
      <c r="CN531" s="26"/>
      <c r="CO531" s="26"/>
      <c r="CP531" s="26"/>
      <c r="CQ531" s="26"/>
      <c r="CR531" s="26"/>
    </row>
    <row r="532" spans="1:96" ht="15.5" x14ac:dyDescent="0.3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</row>
    <row r="533" spans="1:96" ht="15.5" x14ac:dyDescent="0.3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6"/>
      <c r="CC533" s="26"/>
      <c r="CD533" s="26"/>
      <c r="CE533" s="26"/>
      <c r="CF533" s="26"/>
      <c r="CG533" s="26"/>
      <c r="CH533" s="26"/>
      <c r="CI533" s="26"/>
      <c r="CJ533" s="26"/>
      <c r="CK533" s="26"/>
      <c r="CL533" s="26"/>
      <c r="CM533" s="26"/>
      <c r="CN533" s="26"/>
      <c r="CO533" s="26"/>
      <c r="CP533" s="26"/>
      <c r="CQ533" s="26"/>
      <c r="CR533" s="26"/>
    </row>
    <row r="534" spans="1:96" ht="15.5" x14ac:dyDescent="0.3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6"/>
      <c r="CC534" s="26"/>
      <c r="CD534" s="26"/>
      <c r="CE534" s="26"/>
      <c r="CF534" s="26"/>
      <c r="CG534" s="26"/>
      <c r="CH534" s="26"/>
      <c r="CI534" s="26"/>
      <c r="CJ534" s="26"/>
      <c r="CK534" s="26"/>
      <c r="CL534" s="26"/>
      <c r="CM534" s="26"/>
      <c r="CN534" s="26"/>
      <c r="CO534" s="26"/>
      <c r="CP534" s="26"/>
      <c r="CQ534" s="26"/>
      <c r="CR534" s="26"/>
    </row>
    <row r="535" spans="1:96" ht="15.5" x14ac:dyDescent="0.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6"/>
      <c r="CC535" s="26"/>
      <c r="CD535" s="26"/>
      <c r="CE535" s="26"/>
      <c r="CF535" s="26"/>
      <c r="CG535" s="26"/>
      <c r="CH535" s="26"/>
      <c r="CI535" s="26"/>
      <c r="CJ535" s="26"/>
      <c r="CK535" s="26"/>
      <c r="CL535" s="26"/>
      <c r="CM535" s="26"/>
      <c r="CN535" s="26"/>
      <c r="CO535" s="26"/>
      <c r="CP535" s="26"/>
      <c r="CQ535" s="26"/>
      <c r="CR535" s="26"/>
    </row>
    <row r="536" spans="1:96" ht="15.5" x14ac:dyDescent="0.3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6"/>
      <c r="CC536" s="26"/>
      <c r="CD536" s="26"/>
      <c r="CE536" s="26"/>
      <c r="CF536" s="26"/>
      <c r="CG536" s="26"/>
      <c r="CH536" s="26"/>
      <c r="CI536" s="26"/>
      <c r="CJ536" s="26"/>
      <c r="CK536" s="26"/>
      <c r="CL536" s="26"/>
      <c r="CM536" s="26"/>
      <c r="CN536" s="26"/>
      <c r="CO536" s="26"/>
      <c r="CP536" s="26"/>
      <c r="CQ536" s="26"/>
      <c r="CR536" s="26"/>
    </row>
    <row r="537" spans="1:96" ht="15.5" x14ac:dyDescent="0.3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  <c r="BU537" s="26"/>
      <c r="BV537" s="26"/>
      <c r="BW537" s="26"/>
      <c r="BX537" s="26"/>
      <c r="BY537" s="26"/>
      <c r="BZ537" s="26"/>
      <c r="CA537" s="26"/>
      <c r="CB537" s="26"/>
      <c r="CC537" s="26"/>
      <c r="CD537" s="26"/>
      <c r="CE537" s="26"/>
      <c r="CF537" s="26"/>
      <c r="CG537" s="26"/>
      <c r="CH537" s="26"/>
      <c r="CI537" s="26"/>
      <c r="CJ537" s="26"/>
      <c r="CK537" s="26"/>
      <c r="CL537" s="26"/>
      <c r="CM537" s="26"/>
      <c r="CN537" s="26"/>
      <c r="CO537" s="26"/>
      <c r="CP537" s="26"/>
      <c r="CQ537" s="26"/>
      <c r="CR537" s="26"/>
    </row>
    <row r="538" spans="1:96" ht="15.5" x14ac:dyDescent="0.3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6"/>
      <c r="CC538" s="26"/>
      <c r="CD538" s="26"/>
      <c r="CE538" s="26"/>
      <c r="CF538" s="26"/>
      <c r="CG538" s="26"/>
      <c r="CH538" s="26"/>
      <c r="CI538" s="26"/>
      <c r="CJ538" s="26"/>
      <c r="CK538" s="26"/>
      <c r="CL538" s="26"/>
      <c r="CM538" s="26"/>
      <c r="CN538" s="26"/>
      <c r="CO538" s="26"/>
      <c r="CP538" s="26"/>
      <c r="CQ538" s="26"/>
      <c r="CR538" s="26"/>
    </row>
    <row r="539" spans="1:96" ht="15.5" x14ac:dyDescent="0.3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6"/>
      <c r="CC539" s="26"/>
      <c r="CD539" s="26"/>
      <c r="CE539" s="26"/>
      <c r="CF539" s="26"/>
      <c r="CG539" s="26"/>
      <c r="CH539" s="26"/>
      <c r="CI539" s="26"/>
      <c r="CJ539" s="26"/>
      <c r="CK539" s="26"/>
      <c r="CL539" s="26"/>
      <c r="CM539" s="26"/>
      <c r="CN539" s="26"/>
      <c r="CO539" s="26"/>
      <c r="CP539" s="26"/>
      <c r="CQ539" s="26"/>
      <c r="CR539" s="26"/>
    </row>
    <row r="540" spans="1:96" ht="15.5" x14ac:dyDescent="0.3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  <c r="BO540" s="26"/>
      <c r="BP540" s="26"/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6"/>
      <c r="CC540" s="26"/>
      <c r="CD540" s="26"/>
      <c r="CE540" s="26"/>
      <c r="CF540" s="26"/>
      <c r="CG540" s="26"/>
      <c r="CH540" s="26"/>
      <c r="CI540" s="26"/>
      <c r="CJ540" s="26"/>
      <c r="CK540" s="26"/>
      <c r="CL540" s="26"/>
      <c r="CM540" s="26"/>
      <c r="CN540" s="26"/>
      <c r="CO540" s="26"/>
      <c r="CP540" s="26"/>
      <c r="CQ540" s="26"/>
      <c r="CR540" s="26"/>
    </row>
    <row r="541" spans="1:96" ht="15.5" x14ac:dyDescent="0.3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6"/>
      <c r="CC541" s="26"/>
      <c r="CD541" s="26"/>
      <c r="CE541" s="26"/>
      <c r="CF541" s="26"/>
      <c r="CG541" s="26"/>
      <c r="CH541" s="26"/>
      <c r="CI541" s="26"/>
      <c r="CJ541" s="26"/>
      <c r="CK541" s="26"/>
      <c r="CL541" s="26"/>
      <c r="CM541" s="26"/>
      <c r="CN541" s="26"/>
      <c r="CO541" s="26"/>
      <c r="CP541" s="26"/>
      <c r="CQ541" s="26"/>
      <c r="CR541" s="26"/>
    </row>
    <row r="542" spans="1:96" ht="15.5" x14ac:dyDescent="0.3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6"/>
      <c r="CC542" s="26"/>
      <c r="CD542" s="26"/>
      <c r="CE542" s="26"/>
      <c r="CF542" s="26"/>
      <c r="CG542" s="26"/>
      <c r="CH542" s="26"/>
      <c r="CI542" s="26"/>
      <c r="CJ542" s="26"/>
      <c r="CK542" s="26"/>
      <c r="CL542" s="26"/>
      <c r="CM542" s="26"/>
      <c r="CN542" s="26"/>
      <c r="CO542" s="26"/>
      <c r="CP542" s="26"/>
      <c r="CQ542" s="26"/>
      <c r="CR542" s="26"/>
    </row>
    <row r="543" spans="1:96" ht="15.5" x14ac:dyDescent="0.3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6"/>
      <c r="CC543" s="26"/>
      <c r="CD543" s="26"/>
      <c r="CE543" s="26"/>
      <c r="CF543" s="26"/>
      <c r="CG543" s="26"/>
      <c r="CH543" s="26"/>
      <c r="CI543" s="26"/>
      <c r="CJ543" s="26"/>
      <c r="CK543" s="26"/>
      <c r="CL543" s="26"/>
      <c r="CM543" s="26"/>
      <c r="CN543" s="26"/>
      <c r="CO543" s="26"/>
      <c r="CP543" s="26"/>
      <c r="CQ543" s="26"/>
      <c r="CR543" s="26"/>
    </row>
    <row r="544" spans="1:96" ht="15.5" x14ac:dyDescent="0.3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6"/>
      <c r="CC544" s="26"/>
      <c r="CD544" s="26"/>
      <c r="CE544" s="26"/>
      <c r="CF544" s="26"/>
      <c r="CG544" s="26"/>
      <c r="CH544" s="26"/>
      <c r="CI544" s="26"/>
      <c r="CJ544" s="26"/>
      <c r="CK544" s="26"/>
      <c r="CL544" s="26"/>
      <c r="CM544" s="26"/>
      <c r="CN544" s="26"/>
      <c r="CO544" s="26"/>
      <c r="CP544" s="26"/>
      <c r="CQ544" s="26"/>
      <c r="CR544" s="26"/>
    </row>
    <row r="545" spans="1:96" ht="15.5" x14ac:dyDescent="0.3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6"/>
      <c r="CC545" s="26"/>
      <c r="CD545" s="26"/>
      <c r="CE545" s="26"/>
      <c r="CF545" s="26"/>
      <c r="CG545" s="26"/>
      <c r="CH545" s="26"/>
      <c r="CI545" s="26"/>
      <c r="CJ545" s="26"/>
      <c r="CK545" s="26"/>
      <c r="CL545" s="26"/>
      <c r="CM545" s="26"/>
      <c r="CN545" s="26"/>
      <c r="CO545" s="26"/>
      <c r="CP545" s="26"/>
      <c r="CQ545" s="26"/>
      <c r="CR545" s="26"/>
    </row>
    <row r="546" spans="1:96" ht="15.5" x14ac:dyDescent="0.3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6"/>
      <c r="CC546" s="26"/>
      <c r="CD546" s="26"/>
      <c r="CE546" s="26"/>
      <c r="CF546" s="26"/>
      <c r="CG546" s="26"/>
      <c r="CH546" s="26"/>
      <c r="CI546" s="26"/>
      <c r="CJ546" s="26"/>
      <c r="CK546" s="26"/>
      <c r="CL546" s="26"/>
      <c r="CM546" s="26"/>
      <c r="CN546" s="26"/>
      <c r="CO546" s="26"/>
      <c r="CP546" s="26"/>
      <c r="CQ546" s="26"/>
      <c r="CR546" s="26"/>
    </row>
    <row r="547" spans="1:96" ht="15.5" x14ac:dyDescent="0.3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6"/>
      <c r="CC547" s="26"/>
      <c r="CD547" s="26"/>
      <c r="CE547" s="26"/>
      <c r="CF547" s="26"/>
      <c r="CG547" s="26"/>
      <c r="CH547" s="26"/>
      <c r="CI547" s="26"/>
      <c r="CJ547" s="26"/>
      <c r="CK547" s="26"/>
      <c r="CL547" s="26"/>
      <c r="CM547" s="26"/>
      <c r="CN547" s="26"/>
      <c r="CO547" s="26"/>
      <c r="CP547" s="26"/>
      <c r="CQ547" s="26"/>
      <c r="CR547" s="26"/>
    </row>
    <row r="548" spans="1:96" ht="15.5" x14ac:dyDescent="0.3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6"/>
      <c r="CC548" s="26"/>
      <c r="CD548" s="26"/>
      <c r="CE548" s="26"/>
      <c r="CF548" s="26"/>
      <c r="CG548" s="26"/>
      <c r="CH548" s="26"/>
      <c r="CI548" s="26"/>
      <c r="CJ548" s="26"/>
      <c r="CK548" s="26"/>
      <c r="CL548" s="26"/>
      <c r="CM548" s="26"/>
      <c r="CN548" s="26"/>
      <c r="CO548" s="26"/>
      <c r="CP548" s="26"/>
      <c r="CQ548" s="26"/>
      <c r="CR548" s="26"/>
    </row>
    <row r="549" spans="1:96" ht="15.5" x14ac:dyDescent="0.3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6"/>
      <c r="CC549" s="26"/>
      <c r="CD549" s="26"/>
      <c r="CE549" s="26"/>
      <c r="CF549" s="26"/>
      <c r="CG549" s="26"/>
      <c r="CH549" s="26"/>
      <c r="CI549" s="26"/>
      <c r="CJ549" s="26"/>
      <c r="CK549" s="26"/>
      <c r="CL549" s="26"/>
      <c r="CM549" s="26"/>
      <c r="CN549" s="26"/>
      <c r="CO549" s="26"/>
      <c r="CP549" s="26"/>
      <c r="CQ549" s="26"/>
      <c r="CR549" s="26"/>
    </row>
    <row r="550" spans="1:96" ht="15.5" x14ac:dyDescent="0.3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6"/>
      <c r="CC550" s="26"/>
      <c r="CD550" s="26"/>
      <c r="CE550" s="26"/>
      <c r="CF550" s="26"/>
      <c r="CG550" s="26"/>
      <c r="CH550" s="26"/>
      <c r="CI550" s="26"/>
      <c r="CJ550" s="26"/>
      <c r="CK550" s="26"/>
      <c r="CL550" s="26"/>
      <c r="CM550" s="26"/>
      <c r="CN550" s="26"/>
      <c r="CO550" s="26"/>
      <c r="CP550" s="26"/>
      <c r="CQ550" s="26"/>
      <c r="CR550" s="26"/>
    </row>
    <row r="551" spans="1:96" ht="15.5" x14ac:dyDescent="0.3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6"/>
      <c r="CC551" s="26"/>
      <c r="CD551" s="26"/>
      <c r="CE551" s="26"/>
      <c r="CF551" s="26"/>
      <c r="CG551" s="26"/>
      <c r="CH551" s="26"/>
      <c r="CI551" s="26"/>
      <c r="CJ551" s="26"/>
      <c r="CK551" s="26"/>
      <c r="CL551" s="26"/>
      <c r="CM551" s="26"/>
      <c r="CN551" s="26"/>
      <c r="CO551" s="26"/>
      <c r="CP551" s="26"/>
      <c r="CQ551" s="26"/>
      <c r="CR551" s="26"/>
    </row>
    <row r="552" spans="1:96" ht="15.5" x14ac:dyDescent="0.3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6"/>
      <c r="CC552" s="26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</row>
    <row r="553" spans="1:96" ht="15.5" x14ac:dyDescent="0.3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6"/>
      <c r="CC553" s="26"/>
      <c r="CD553" s="26"/>
      <c r="CE553" s="26"/>
      <c r="CF553" s="26"/>
      <c r="CG553" s="26"/>
      <c r="CH553" s="26"/>
      <c r="CI553" s="26"/>
      <c r="CJ553" s="26"/>
      <c r="CK553" s="26"/>
      <c r="CL553" s="26"/>
      <c r="CM553" s="26"/>
      <c r="CN553" s="26"/>
      <c r="CO553" s="26"/>
      <c r="CP553" s="26"/>
      <c r="CQ553" s="26"/>
      <c r="CR553" s="26"/>
    </row>
    <row r="554" spans="1:96" ht="15.5" x14ac:dyDescent="0.3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6"/>
      <c r="CC554" s="26"/>
      <c r="CD554" s="26"/>
      <c r="CE554" s="26"/>
      <c r="CF554" s="26"/>
      <c r="CG554" s="26"/>
      <c r="CH554" s="26"/>
      <c r="CI554" s="26"/>
      <c r="CJ554" s="26"/>
      <c r="CK554" s="26"/>
      <c r="CL554" s="26"/>
      <c r="CM554" s="26"/>
      <c r="CN554" s="26"/>
      <c r="CO554" s="26"/>
      <c r="CP554" s="26"/>
      <c r="CQ554" s="26"/>
      <c r="CR554" s="26"/>
    </row>
    <row r="555" spans="1:96" ht="15.5" x14ac:dyDescent="0.3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6"/>
      <c r="CC555" s="26"/>
      <c r="CD555" s="26"/>
      <c r="CE555" s="26"/>
      <c r="CF555" s="26"/>
      <c r="CG555" s="26"/>
      <c r="CH555" s="26"/>
      <c r="CI555" s="26"/>
      <c r="CJ555" s="26"/>
      <c r="CK555" s="26"/>
      <c r="CL555" s="26"/>
      <c r="CM555" s="26"/>
      <c r="CN555" s="26"/>
      <c r="CO555" s="26"/>
      <c r="CP555" s="26"/>
      <c r="CQ555" s="26"/>
      <c r="CR555" s="26"/>
    </row>
    <row r="556" spans="1:96" ht="15.5" x14ac:dyDescent="0.3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6"/>
      <c r="CC556" s="26"/>
      <c r="CD556" s="26"/>
      <c r="CE556" s="26"/>
      <c r="CF556" s="26"/>
      <c r="CG556" s="26"/>
      <c r="CH556" s="26"/>
      <c r="CI556" s="26"/>
      <c r="CJ556" s="26"/>
      <c r="CK556" s="26"/>
      <c r="CL556" s="26"/>
      <c r="CM556" s="26"/>
      <c r="CN556" s="26"/>
      <c r="CO556" s="26"/>
      <c r="CP556" s="26"/>
      <c r="CQ556" s="26"/>
      <c r="CR556" s="26"/>
    </row>
    <row r="557" spans="1:96" ht="15.5" x14ac:dyDescent="0.3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6"/>
      <c r="CC557" s="26"/>
      <c r="CD557" s="26"/>
      <c r="CE557" s="26"/>
      <c r="CF557" s="26"/>
      <c r="CG557" s="26"/>
      <c r="CH557" s="26"/>
      <c r="CI557" s="26"/>
      <c r="CJ557" s="26"/>
      <c r="CK557" s="26"/>
      <c r="CL557" s="26"/>
      <c r="CM557" s="26"/>
      <c r="CN557" s="26"/>
      <c r="CO557" s="26"/>
      <c r="CP557" s="26"/>
      <c r="CQ557" s="26"/>
      <c r="CR557" s="26"/>
    </row>
    <row r="558" spans="1:96" ht="15.5" x14ac:dyDescent="0.3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  <c r="BO558" s="26"/>
      <c r="BP558" s="26"/>
      <c r="BQ558" s="26"/>
      <c r="BR558" s="26"/>
      <c r="BS558" s="26"/>
      <c r="BT558" s="26"/>
      <c r="BU558" s="26"/>
      <c r="BV558" s="26"/>
      <c r="BW558" s="26"/>
      <c r="BX558" s="26"/>
      <c r="BY558" s="26"/>
      <c r="BZ558" s="26"/>
      <c r="CA558" s="26"/>
      <c r="CB558" s="26"/>
      <c r="CC558" s="26"/>
      <c r="CD558" s="26"/>
      <c r="CE558" s="26"/>
      <c r="CF558" s="26"/>
      <c r="CG558" s="26"/>
      <c r="CH558" s="26"/>
      <c r="CI558" s="26"/>
      <c r="CJ558" s="26"/>
      <c r="CK558" s="26"/>
      <c r="CL558" s="26"/>
      <c r="CM558" s="26"/>
      <c r="CN558" s="26"/>
      <c r="CO558" s="26"/>
      <c r="CP558" s="26"/>
      <c r="CQ558" s="26"/>
      <c r="CR558" s="26"/>
    </row>
    <row r="559" spans="1:96" ht="15.5" x14ac:dyDescent="0.3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6"/>
      <c r="CC559" s="26"/>
      <c r="CD559" s="26"/>
      <c r="CE559" s="26"/>
      <c r="CF559" s="26"/>
      <c r="CG559" s="26"/>
      <c r="CH559" s="26"/>
      <c r="CI559" s="26"/>
      <c r="CJ559" s="26"/>
      <c r="CK559" s="26"/>
      <c r="CL559" s="26"/>
      <c r="CM559" s="26"/>
      <c r="CN559" s="26"/>
      <c r="CO559" s="26"/>
      <c r="CP559" s="26"/>
      <c r="CQ559" s="26"/>
      <c r="CR559" s="26"/>
    </row>
    <row r="560" spans="1:96" ht="15.5" x14ac:dyDescent="0.3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6"/>
      <c r="CC560" s="26"/>
      <c r="CD560" s="26"/>
      <c r="CE560" s="26"/>
      <c r="CF560" s="26"/>
      <c r="CG560" s="26"/>
      <c r="CH560" s="26"/>
      <c r="CI560" s="26"/>
      <c r="CJ560" s="26"/>
      <c r="CK560" s="26"/>
      <c r="CL560" s="26"/>
      <c r="CM560" s="26"/>
      <c r="CN560" s="26"/>
      <c r="CO560" s="26"/>
      <c r="CP560" s="26"/>
      <c r="CQ560" s="26"/>
      <c r="CR560" s="26"/>
    </row>
    <row r="561" spans="1:96" ht="15.5" x14ac:dyDescent="0.3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6"/>
      <c r="CC561" s="26"/>
      <c r="CD561" s="26"/>
      <c r="CE561" s="26"/>
      <c r="CF561" s="26"/>
      <c r="CG561" s="26"/>
      <c r="CH561" s="26"/>
      <c r="CI561" s="26"/>
      <c r="CJ561" s="26"/>
      <c r="CK561" s="26"/>
      <c r="CL561" s="26"/>
      <c r="CM561" s="26"/>
      <c r="CN561" s="26"/>
      <c r="CO561" s="26"/>
      <c r="CP561" s="26"/>
      <c r="CQ561" s="26"/>
      <c r="CR561" s="26"/>
    </row>
    <row r="562" spans="1:96" ht="15.5" x14ac:dyDescent="0.3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6"/>
      <c r="CC562" s="26"/>
      <c r="CD562" s="26"/>
      <c r="CE562" s="26"/>
      <c r="CF562" s="26"/>
      <c r="CG562" s="26"/>
      <c r="CH562" s="26"/>
      <c r="CI562" s="26"/>
      <c r="CJ562" s="26"/>
      <c r="CK562" s="26"/>
      <c r="CL562" s="26"/>
      <c r="CM562" s="26"/>
      <c r="CN562" s="26"/>
      <c r="CO562" s="26"/>
      <c r="CP562" s="26"/>
      <c r="CQ562" s="26"/>
      <c r="CR562" s="26"/>
    </row>
    <row r="563" spans="1:96" ht="15.5" x14ac:dyDescent="0.3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6"/>
      <c r="CC563" s="26"/>
      <c r="CD563" s="26"/>
      <c r="CE563" s="26"/>
      <c r="CF563" s="26"/>
      <c r="CG563" s="26"/>
      <c r="CH563" s="26"/>
      <c r="CI563" s="26"/>
      <c r="CJ563" s="26"/>
      <c r="CK563" s="26"/>
      <c r="CL563" s="26"/>
      <c r="CM563" s="26"/>
      <c r="CN563" s="26"/>
      <c r="CO563" s="26"/>
      <c r="CP563" s="26"/>
      <c r="CQ563" s="26"/>
      <c r="CR563" s="26"/>
    </row>
    <row r="564" spans="1:96" ht="15.5" x14ac:dyDescent="0.3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6"/>
      <c r="CC564" s="26"/>
      <c r="CD564" s="26"/>
      <c r="CE564" s="26"/>
      <c r="CF564" s="26"/>
      <c r="CG564" s="26"/>
      <c r="CH564" s="26"/>
      <c r="CI564" s="26"/>
      <c r="CJ564" s="26"/>
      <c r="CK564" s="26"/>
      <c r="CL564" s="26"/>
      <c r="CM564" s="26"/>
      <c r="CN564" s="26"/>
      <c r="CO564" s="26"/>
      <c r="CP564" s="26"/>
      <c r="CQ564" s="26"/>
      <c r="CR564" s="26"/>
    </row>
    <row r="565" spans="1:96" ht="15.5" x14ac:dyDescent="0.3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6"/>
      <c r="CC565" s="26"/>
      <c r="CD565" s="26"/>
      <c r="CE565" s="26"/>
      <c r="CF565" s="26"/>
      <c r="CG565" s="26"/>
      <c r="CH565" s="26"/>
      <c r="CI565" s="26"/>
      <c r="CJ565" s="26"/>
      <c r="CK565" s="26"/>
      <c r="CL565" s="26"/>
      <c r="CM565" s="26"/>
      <c r="CN565" s="26"/>
      <c r="CO565" s="26"/>
      <c r="CP565" s="26"/>
      <c r="CQ565" s="26"/>
      <c r="CR565" s="26"/>
    </row>
    <row r="566" spans="1:96" ht="15.5" x14ac:dyDescent="0.3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6"/>
      <c r="CC566" s="26"/>
      <c r="CD566" s="26"/>
      <c r="CE566" s="26"/>
      <c r="CF566" s="26"/>
      <c r="CG566" s="26"/>
      <c r="CH566" s="26"/>
      <c r="CI566" s="26"/>
      <c r="CJ566" s="26"/>
      <c r="CK566" s="26"/>
      <c r="CL566" s="26"/>
      <c r="CM566" s="26"/>
      <c r="CN566" s="26"/>
      <c r="CO566" s="26"/>
      <c r="CP566" s="26"/>
      <c r="CQ566" s="26"/>
      <c r="CR566" s="26"/>
    </row>
    <row r="567" spans="1:96" ht="15.5" x14ac:dyDescent="0.3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  <c r="BU567" s="26"/>
      <c r="BV567" s="26"/>
      <c r="BW567" s="26"/>
      <c r="BX567" s="26"/>
      <c r="BY567" s="26"/>
      <c r="BZ567" s="26"/>
      <c r="CA567" s="26"/>
      <c r="CB567" s="26"/>
      <c r="CC567" s="26"/>
      <c r="CD567" s="26"/>
      <c r="CE567" s="26"/>
      <c r="CF567" s="26"/>
      <c r="CG567" s="26"/>
      <c r="CH567" s="26"/>
      <c r="CI567" s="26"/>
      <c r="CJ567" s="26"/>
      <c r="CK567" s="26"/>
      <c r="CL567" s="26"/>
      <c r="CM567" s="26"/>
      <c r="CN567" s="26"/>
      <c r="CO567" s="26"/>
      <c r="CP567" s="26"/>
      <c r="CQ567" s="26"/>
      <c r="CR567" s="26"/>
    </row>
    <row r="568" spans="1:96" ht="15.5" x14ac:dyDescent="0.3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6"/>
      <c r="CC568" s="26"/>
      <c r="CD568" s="26"/>
      <c r="CE568" s="26"/>
      <c r="CF568" s="26"/>
      <c r="CG568" s="26"/>
      <c r="CH568" s="26"/>
      <c r="CI568" s="26"/>
      <c r="CJ568" s="26"/>
      <c r="CK568" s="26"/>
      <c r="CL568" s="26"/>
      <c r="CM568" s="26"/>
      <c r="CN568" s="26"/>
      <c r="CO568" s="26"/>
      <c r="CP568" s="26"/>
      <c r="CQ568" s="26"/>
      <c r="CR568" s="26"/>
    </row>
    <row r="569" spans="1:96" ht="15.5" x14ac:dyDescent="0.3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6"/>
      <c r="CC569" s="26"/>
      <c r="CD569" s="26"/>
      <c r="CE569" s="26"/>
      <c r="CF569" s="26"/>
      <c r="CG569" s="26"/>
      <c r="CH569" s="26"/>
      <c r="CI569" s="26"/>
      <c r="CJ569" s="26"/>
      <c r="CK569" s="26"/>
      <c r="CL569" s="26"/>
      <c r="CM569" s="26"/>
      <c r="CN569" s="26"/>
      <c r="CO569" s="26"/>
      <c r="CP569" s="26"/>
      <c r="CQ569" s="26"/>
      <c r="CR569" s="26"/>
    </row>
    <row r="570" spans="1:96" ht="15.5" x14ac:dyDescent="0.3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  <c r="BU570" s="26"/>
      <c r="BV570" s="26"/>
      <c r="BW570" s="26"/>
      <c r="BX570" s="26"/>
      <c r="BY570" s="26"/>
      <c r="BZ570" s="26"/>
      <c r="CA570" s="26"/>
      <c r="CB570" s="26"/>
      <c r="CC570" s="26"/>
      <c r="CD570" s="26"/>
      <c r="CE570" s="26"/>
      <c r="CF570" s="26"/>
      <c r="CG570" s="26"/>
      <c r="CH570" s="26"/>
      <c r="CI570" s="26"/>
      <c r="CJ570" s="26"/>
      <c r="CK570" s="26"/>
      <c r="CL570" s="26"/>
      <c r="CM570" s="26"/>
      <c r="CN570" s="26"/>
      <c r="CO570" s="26"/>
      <c r="CP570" s="26"/>
      <c r="CQ570" s="26"/>
      <c r="CR570" s="26"/>
    </row>
    <row r="571" spans="1:96" ht="15.5" x14ac:dyDescent="0.3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  <c r="BU571" s="26"/>
      <c r="BV571" s="26"/>
      <c r="BW571" s="26"/>
      <c r="BX571" s="26"/>
      <c r="BY571" s="26"/>
      <c r="BZ571" s="26"/>
      <c r="CA571" s="26"/>
      <c r="CB571" s="26"/>
      <c r="CC571" s="26"/>
      <c r="CD571" s="26"/>
      <c r="CE571" s="26"/>
      <c r="CF571" s="26"/>
      <c r="CG571" s="26"/>
      <c r="CH571" s="26"/>
      <c r="CI571" s="26"/>
      <c r="CJ571" s="26"/>
      <c r="CK571" s="26"/>
      <c r="CL571" s="26"/>
      <c r="CM571" s="26"/>
      <c r="CN571" s="26"/>
      <c r="CO571" s="26"/>
      <c r="CP571" s="26"/>
      <c r="CQ571" s="26"/>
      <c r="CR571" s="26"/>
    </row>
    <row r="572" spans="1:96" ht="15.5" x14ac:dyDescent="0.3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6"/>
      <c r="CC572" s="26"/>
      <c r="CD572" s="26"/>
      <c r="CE572" s="26"/>
      <c r="CF572" s="26"/>
      <c r="CG572" s="26"/>
      <c r="CH572" s="26"/>
      <c r="CI572" s="26"/>
      <c r="CJ572" s="26"/>
      <c r="CK572" s="26"/>
      <c r="CL572" s="26"/>
      <c r="CM572" s="26"/>
      <c r="CN572" s="26"/>
      <c r="CO572" s="26"/>
      <c r="CP572" s="26"/>
      <c r="CQ572" s="26"/>
      <c r="CR572" s="26"/>
    </row>
    <row r="573" spans="1:96" ht="15.5" x14ac:dyDescent="0.3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6"/>
      <c r="CC573" s="26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</row>
    <row r="574" spans="1:96" ht="15.5" x14ac:dyDescent="0.3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6"/>
      <c r="CC574" s="26"/>
      <c r="CD574" s="26"/>
      <c r="CE574" s="26"/>
      <c r="CF574" s="26"/>
      <c r="CG574" s="26"/>
      <c r="CH574" s="26"/>
      <c r="CI574" s="26"/>
      <c r="CJ574" s="26"/>
      <c r="CK574" s="26"/>
      <c r="CL574" s="26"/>
      <c r="CM574" s="26"/>
      <c r="CN574" s="26"/>
      <c r="CO574" s="26"/>
      <c r="CP574" s="26"/>
      <c r="CQ574" s="26"/>
      <c r="CR574" s="26"/>
    </row>
    <row r="575" spans="1:96" ht="15.5" x14ac:dyDescent="0.3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6"/>
      <c r="CC575" s="26"/>
      <c r="CD575" s="26"/>
      <c r="CE575" s="26"/>
      <c r="CF575" s="26"/>
      <c r="CG575" s="26"/>
      <c r="CH575" s="26"/>
      <c r="CI575" s="26"/>
      <c r="CJ575" s="26"/>
      <c r="CK575" s="26"/>
      <c r="CL575" s="26"/>
      <c r="CM575" s="26"/>
      <c r="CN575" s="26"/>
      <c r="CO575" s="26"/>
      <c r="CP575" s="26"/>
      <c r="CQ575" s="26"/>
      <c r="CR575" s="26"/>
    </row>
    <row r="576" spans="1:96" ht="15.5" x14ac:dyDescent="0.3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6"/>
      <c r="CC576" s="26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26"/>
      <c r="CR576" s="26"/>
    </row>
    <row r="577" spans="1:96" ht="15.5" x14ac:dyDescent="0.3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6"/>
      <c r="CC577" s="26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26"/>
      <c r="CR577" s="26"/>
    </row>
    <row r="578" spans="1:96" ht="15.5" x14ac:dyDescent="0.3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6"/>
      <c r="CC578" s="26"/>
      <c r="CD578" s="26"/>
      <c r="CE578" s="26"/>
      <c r="CF578" s="26"/>
      <c r="CG578" s="26"/>
      <c r="CH578" s="26"/>
      <c r="CI578" s="26"/>
      <c r="CJ578" s="26"/>
      <c r="CK578" s="26"/>
      <c r="CL578" s="26"/>
      <c r="CM578" s="26"/>
      <c r="CN578" s="26"/>
      <c r="CO578" s="26"/>
      <c r="CP578" s="26"/>
      <c r="CQ578" s="26"/>
      <c r="CR578" s="26"/>
    </row>
    <row r="579" spans="1:96" ht="15.5" x14ac:dyDescent="0.3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6"/>
      <c r="CC579" s="26"/>
      <c r="CD579" s="26"/>
      <c r="CE579" s="26"/>
      <c r="CF579" s="26"/>
      <c r="CG579" s="26"/>
      <c r="CH579" s="26"/>
      <c r="CI579" s="26"/>
      <c r="CJ579" s="26"/>
      <c r="CK579" s="26"/>
      <c r="CL579" s="26"/>
      <c r="CM579" s="26"/>
      <c r="CN579" s="26"/>
      <c r="CO579" s="26"/>
      <c r="CP579" s="26"/>
      <c r="CQ579" s="26"/>
      <c r="CR579" s="26"/>
    </row>
    <row r="580" spans="1:96" ht="15.5" x14ac:dyDescent="0.3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6"/>
      <c r="CC580" s="26"/>
      <c r="CD580" s="26"/>
      <c r="CE580" s="26"/>
      <c r="CF580" s="26"/>
      <c r="CG580" s="26"/>
      <c r="CH580" s="26"/>
      <c r="CI580" s="26"/>
      <c r="CJ580" s="26"/>
      <c r="CK580" s="26"/>
      <c r="CL580" s="26"/>
      <c r="CM580" s="26"/>
      <c r="CN580" s="26"/>
      <c r="CO580" s="26"/>
      <c r="CP580" s="26"/>
      <c r="CQ580" s="26"/>
      <c r="CR580" s="26"/>
    </row>
    <row r="581" spans="1:96" ht="15.5" x14ac:dyDescent="0.3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6"/>
      <c r="CC581" s="26"/>
      <c r="CD581" s="26"/>
      <c r="CE581" s="26"/>
      <c r="CF581" s="26"/>
      <c r="CG581" s="26"/>
      <c r="CH581" s="26"/>
      <c r="CI581" s="26"/>
      <c r="CJ581" s="26"/>
      <c r="CK581" s="26"/>
      <c r="CL581" s="26"/>
      <c r="CM581" s="26"/>
      <c r="CN581" s="26"/>
      <c r="CO581" s="26"/>
      <c r="CP581" s="26"/>
      <c r="CQ581" s="26"/>
      <c r="CR581" s="26"/>
    </row>
    <row r="582" spans="1:96" ht="15.5" x14ac:dyDescent="0.3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6"/>
      <c r="CC582" s="26"/>
      <c r="CD582" s="26"/>
      <c r="CE582" s="26"/>
      <c r="CF582" s="26"/>
      <c r="CG582" s="26"/>
      <c r="CH582" s="26"/>
      <c r="CI582" s="26"/>
      <c r="CJ582" s="26"/>
      <c r="CK582" s="26"/>
      <c r="CL582" s="26"/>
      <c r="CM582" s="26"/>
      <c r="CN582" s="26"/>
      <c r="CO582" s="26"/>
      <c r="CP582" s="26"/>
      <c r="CQ582" s="26"/>
      <c r="CR582" s="26"/>
    </row>
    <row r="583" spans="1:96" ht="15.5" x14ac:dyDescent="0.3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6"/>
      <c r="CC583" s="26"/>
      <c r="CD583" s="26"/>
      <c r="CE583" s="26"/>
      <c r="CF583" s="26"/>
      <c r="CG583" s="26"/>
      <c r="CH583" s="26"/>
      <c r="CI583" s="26"/>
      <c r="CJ583" s="26"/>
      <c r="CK583" s="26"/>
      <c r="CL583" s="26"/>
      <c r="CM583" s="26"/>
      <c r="CN583" s="26"/>
      <c r="CO583" s="26"/>
      <c r="CP583" s="26"/>
      <c r="CQ583" s="26"/>
      <c r="CR583" s="26"/>
    </row>
    <row r="584" spans="1:96" ht="15.5" x14ac:dyDescent="0.3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6"/>
      <c r="CC584" s="26"/>
      <c r="CD584" s="26"/>
      <c r="CE584" s="26"/>
      <c r="CF584" s="26"/>
      <c r="CG584" s="26"/>
      <c r="CH584" s="26"/>
      <c r="CI584" s="26"/>
      <c r="CJ584" s="26"/>
      <c r="CK584" s="26"/>
      <c r="CL584" s="26"/>
      <c r="CM584" s="26"/>
      <c r="CN584" s="26"/>
      <c r="CO584" s="26"/>
      <c r="CP584" s="26"/>
      <c r="CQ584" s="26"/>
      <c r="CR584" s="26"/>
    </row>
    <row r="585" spans="1:96" ht="15.5" x14ac:dyDescent="0.3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  <c r="BU585" s="26"/>
      <c r="BV585" s="26"/>
      <c r="BW585" s="26"/>
      <c r="BX585" s="26"/>
      <c r="BY585" s="26"/>
      <c r="BZ585" s="26"/>
      <c r="CA585" s="26"/>
      <c r="CB585" s="26"/>
      <c r="CC585" s="26"/>
      <c r="CD585" s="26"/>
      <c r="CE585" s="26"/>
      <c r="CF585" s="26"/>
      <c r="CG585" s="26"/>
      <c r="CH585" s="26"/>
      <c r="CI585" s="26"/>
      <c r="CJ585" s="26"/>
      <c r="CK585" s="26"/>
      <c r="CL585" s="26"/>
      <c r="CM585" s="26"/>
      <c r="CN585" s="26"/>
      <c r="CO585" s="26"/>
      <c r="CP585" s="26"/>
      <c r="CQ585" s="26"/>
      <c r="CR585" s="26"/>
    </row>
    <row r="586" spans="1:96" ht="15.5" x14ac:dyDescent="0.3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6"/>
      <c r="CC586" s="26"/>
      <c r="CD586" s="26"/>
      <c r="CE586" s="26"/>
      <c r="CF586" s="26"/>
      <c r="CG586" s="26"/>
      <c r="CH586" s="26"/>
      <c r="CI586" s="26"/>
      <c r="CJ586" s="26"/>
      <c r="CK586" s="26"/>
      <c r="CL586" s="26"/>
      <c r="CM586" s="26"/>
      <c r="CN586" s="26"/>
      <c r="CO586" s="26"/>
      <c r="CP586" s="26"/>
      <c r="CQ586" s="26"/>
      <c r="CR586" s="26"/>
    </row>
    <row r="587" spans="1:96" ht="15.5" x14ac:dyDescent="0.3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6"/>
      <c r="CC587" s="26"/>
      <c r="CD587" s="26"/>
      <c r="CE587" s="26"/>
      <c r="CF587" s="26"/>
      <c r="CG587" s="26"/>
      <c r="CH587" s="26"/>
      <c r="CI587" s="26"/>
      <c r="CJ587" s="26"/>
      <c r="CK587" s="26"/>
      <c r="CL587" s="26"/>
      <c r="CM587" s="26"/>
      <c r="CN587" s="26"/>
      <c r="CO587" s="26"/>
      <c r="CP587" s="26"/>
      <c r="CQ587" s="26"/>
      <c r="CR587" s="26"/>
    </row>
    <row r="588" spans="1:96" ht="15.5" x14ac:dyDescent="0.3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6"/>
      <c r="CC588" s="26"/>
      <c r="CD588" s="26"/>
      <c r="CE588" s="26"/>
      <c r="CF588" s="26"/>
      <c r="CG588" s="26"/>
      <c r="CH588" s="26"/>
      <c r="CI588" s="26"/>
      <c r="CJ588" s="26"/>
      <c r="CK588" s="26"/>
      <c r="CL588" s="26"/>
      <c r="CM588" s="26"/>
      <c r="CN588" s="26"/>
      <c r="CO588" s="26"/>
      <c r="CP588" s="26"/>
      <c r="CQ588" s="26"/>
      <c r="CR588" s="26"/>
    </row>
    <row r="589" spans="1:96" ht="15.5" x14ac:dyDescent="0.3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6"/>
      <c r="CC589" s="26"/>
      <c r="CD589" s="26"/>
      <c r="CE589" s="26"/>
      <c r="CF589" s="26"/>
      <c r="CG589" s="26"/>
      <c r="CH589" s="26"/>
      <c r="CI589" s="26"/>
      <c r="CJ589" s="26"/>
      <c r="CK589" s="26"/>
      <c r="CL589" s="26"/>
      <c r="CM589" s="26"/>
      <c r="CN589" s="26"/>
      <c r="CO589" s="26"/>
      <c r="CP589" s="26"/>
      <c r="CQ589" s="26"/>
      <c r="CR589" s="26"/>
    </row>
    <row r="590" spans="1:96" ht="15.5" x14ac:dyDescent="0.3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6"/>
      <c r="CC590" s="26"/>
      <c r="CD590" s="26"/>
      <c r="CE590" s="26"/>
      <c r="CF590" s="26"/>
      <c r="CG590" s="26"/>
      <c r="CH590" s="26"/>
      <c r="CI590" s="26"/>
      <c r="CJ590" s="26"/>
      <c r="CK590" s="26"/>
      <c r="CL590" s="26"/>
      <c r="CM590" s="26"/>
      <c r="CN590" s="26"/>
      <c r="CO590" s="26"/>
      <c r="CP590" s="26"/>
      <c r="CQ590" s="26"/>
      <c r="CR590" s="26"/>
    </row>
    <row r="591" spans="1:96" ht="15.5" x14ac:dyDescent="0.3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6"/>
      <c r="CC591" s="26"/>
      <c r="CD591" s="26"/>
      <c r="CE591" s="26"/>
      <c r="CF591" s="26"/>
      <c r="CG591" s="26"/>
      <c r="CH591" s="26"/>
      <c r="CI591" s="26"/>
      <c r="CJ591" s="26"/>
      <c r="CK591" s="26"/>
      <c r="CL591" s="26"/>
      <c r="CM591" s="26"/>
      <c r="CN591" s="26"/>
      <c r="CO591" s="26"/>
      <c r="CP591" s="26"/>
      <c r="CQ591" s="26"/>
      <c r="CR591" s="26"/>
    </row>
    <row r="592" spans="1:96" ht="15.5" x14ac:dyDescent="0.3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6"/>
      <c r="CC592" s="26"/>
      <c r="CD592" s="26"/>
      <c r="CE592" s="26"/>
      <c r="CF592" s="26"/>
      <c r="CG592" s="26"/>
      <c r="CH592" s="26"/>
      <c r="CI592" s="26"/>
      <c r="CJ592" s="26"/>
      <c r="CK592" s="26"/>
      <c r="CL592" s="26"/>
      <c r="CM592" s="26"/>
      <c r="CN592" s="26"/>
      <c r="CO592" s="26"/>
      <c r="CP592" s="26"/>
      <c r="CQ592" s="26"/>
      <c r="CR592" s="26"/>
    </row>
    <row r="593" spans="1:96" ht="15.5" x14ac:dyDescent="0.3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6"/>
      <c r="CC593" s="26"/>
      <c r="CD593" s="26"/>
      <c r="CE593" s="26"/>
      <c r="CF593" s="26"/>
      <c r="CG593" s="26"/>
      <c r="CH593" s="26"/>
      <c r="CI593" s="26"/>
      <c r="CJ593" s="26"/>
      <c r="CK593" s="26"/>
      <c r="CL593" s="26"/>
      <c r="CM593" s="26"/>
      <c r="CN593" s="26"/>
      <c r="CO593" s="26"/>
      <c r="CP593" s="26"/>
      <c r="CQ593" s="26"/>
      <c r="CR593" s="26"/>
    </row>
    <row r="594" spans="1:96" ht="15.5" x14ac:dyDescent="0.3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6"/>
      <c r="CC594" s="26"/>
      <c r="CD594" s="26"/>
      <c r="CE594" s="26"/>
      <c r="CF594" s="26"/>
      <c r="CG594" s="26"/>
      <c r="CH594" s="26"/>
      <c r="CI594" s="26"/>
      <c r="CJ594" s="26"/>
      <c r="CK594" s="26"/>
      <c r="CL594" s="26"/>
      <c r="CM594" s="26"/>
      <c r="CN594" s="26"/>
      <c r="CO594" s="26"/>
      <c r="CP594" s="26"/>
      <c r="CQ594" s="26"/>
      <c r="CR594" s="26"/>
    </row>
    <row r="595" spans="1:96" ht="15.5" x14ac:dyDescent="0.3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6"/>
      <c r="CC595" s="26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</row>
    <row r="596" spans="1:96" ht="15.5" x14ac:dyDescent="0.3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6"/>
      <c r="CC596" s="26"/>
      <c r="CD596" s="26"/>
      <c r="CE596" s="26"/>
      <c r="CF596" s="26"/>
      <c r="CG596" s="26"/>
      <c r="CH596" s="26"/>
      <c r="CI596" s="26"/>
      <c r="CJ596" s="26"/>
      <c r="CK596" s="26"/>
      <c r="CL596" s="26"/>
      <c r="CM596" s="26"/>
      <c r="CN596" s="26"/>
      <c r="CO596" s="26"/>
      <c r="CP596" s="26"/>
      <c r="CQ596" s="26"/>
      <c r="CR596" s="26"/>
    </row>
    <row r="597" spans="1:96" ht="15.5" x14ac:dyDescent="0.3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/>
      <c r="BV597" s="26"/>
      <c r="BW597" s="26"/>
      <c r="BX597" s="26"/>
      <c r="BY597" s="26"/>
      <c r="BZ597" s="26"/>
      <c r="CA597" s="26"/>
      <c r="CB597" s="26"/>
      <c r="CC597" s="26"/>
      <c r="CD597" s="26"/>
      <c r="CE597" s="26"/>
      <c r="CF597" s="26"/>
      <c r="CG597" s="26"/>
      <c r="CH597" s="26"/>
      <c r="CI597" s="26"/>
      <c r="CJ597" s="26"/>
      <c r="CK597" s="26"/>
      <c r="CL597" s="26"/>
      <c r="CM597" s="26"/>
      <c r="CN597" s="26"/>
      <c r="CO597" s="26"/>
      <c r="CP597" s="26"/>
      <c r="CQ597" s="26"/>
      <c r="CR597" s="26"/>
    </row>
    <row r="598" spans="1:96" ht="15.5" x14ac:dyDescent="0.3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  <c r="BU598" s="26"/>
      <c r="BV598" s="26"/>
      <c r="BW598" s="26"/>
      <c r="BX598" s="26"/>
      <c r="BY598" s="26"/>
      <c r="BZ598" s="26"/>
      <c r="CA598" s="26"/>
      <c r="CB598" s="26"/>
      <c r="CC598" s="26"/>
      <c r="CD598" s="26"/>
      <c r="CE598" s="26"/>
      <c r="CF598" s="26"/>
      <c r="CG598" s="26"/>
      <c r="CH598" s="26"/>
      <c r="CI598" s="26"/>
      <c r="CJ598" s="26"/>
      <c r="CK598" s="26"/>
      <c r="CL598" s="26"/>
      <c r="CM598" s="26"/>
      <c r="CN598" s="26"/>
      <c r="CO598" s="26"/>
      <c r="CP598" s="26"/>
      <c r="CQ598" s="26"/>
      <c r="CR598" s="26"/>
    </row>
    <row r="599" spans="1:96" ht="15.5" x14ac:dyDescent="0.3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6"/>
      <c r="CC599" s="26"/>
      <c r="CD599" s="26"/>
      <c r="CE599" s="26"/>
      <c r="CF599" s="26"/>
      <c r="CG599" s="26"/>
      <c r="CH599" s="26"/>
      <c r="CI599" s="26"/>
      <c r="CJ599" s="26"/>
      <c r="CK599" s="26"/>
      <c r="CL599" s="26"/>
      <c r="CM599" s="26"/>
      <c r="CN599" s="26"/>
      <c r="CO599" s="26"/>
      <c r="CP599" s="26"/>
      <c r="CQ599" s="26"/>
      <c r="CR599" s="26"/>
    </row>
    <row r="600" spans="1:96" ht="15.5" x14ac:dyDescent="0.3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6"/>
      <c r="CC600" s="26"/>
      <c r="CD600" s="26"/>
      <c r="CE600" s="26"/>
      <c r="CF600" s="26"/>
      <c r="CG600" s="26"/>
      <c r="CH600" s="26"/>
      <c r="CI600" s="26"/>
      <c r="CJ600" s="26"/>
      <c r="CK600" s="26"/>
      <c r="CL600" s="26"/>
      <c r="CM600" s="26"/>
      <c r="CN600" s="26"/>
      <c r="CO600" s="26"/>
      <c r="CP600" s="26"/>
      <c r="CQ600" s="26"/>
      <c r="CR600" s="26"/>
    </row>
    <row r="601" spans="1:96" ht="15.5" x14ac:dyDescent="0.3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6"/>
      <c r="CC601" s="26"/>
      <c r="CD601" s="26"/>
      <c r="CE601" s="26"/>
      <c r="CF601" s="26"/>
      <c r="CG601" s="26"/>
      <c r="CH601" s="26"/>
      <c r="CI601" s="26"/>
      <c r="CJ601" s="26"/>
      <c r="CK601" s="26"/>
      <c r="CL601" s="26"/>
      <c r="CM601" s="26"/>
      <c r="CN601" s="26"/>
      <c r="CO601" s="26"/>
      <c r="CP601" s="26"/>
      <c r="CQ601" s="26"/>
      <c r="CR601" s="26"/>
    </row>
    <row r="602" spans="1:96" ht="15.5" x14ac:dyDescent="0.3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6"/>
      <c r="CC602" s="26"/>
      <c r="CD602" s="26"/>
      <c r="CE602" s="26"/>
      <c r="CF602" s="26"/>
      <c r="CG602" s="26"/>
      <c r="CH602" s="26"/>
      <c r="CI602" s="26"/>
      <c r="CJ602" s="26"/>
      <c r="CK602" s="26"/>
      <c r="CL602" s="26"/>
      <c r="CM602" s="26"/>
      <c r="CN602" s="26"/>
      <c r="CO602" s="26"/>
      <c r="CP602" s="26"/>
      <c r="CQ602" s="26"/>
      <c r="CR602" s="26"/>
    </row>
    <row r="603" spans="1:96" ht="15.5" x14ac:dyDescent="0.3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  <c r="BU603" s="26"/>
      <c r="BV603" s="26"/>
      <c r="BW603" s="26"/>
      <c r="BX603" s="26"/>
      <c r="BY603" s="26"/>
      <c r="BZ603" s="26"/>
      <c r="CA603" s="26"/>
      <c r="CB603" s="26"/>
      <c r="CC603" s="26"/>
      <c r="CD603" s="26"/>
      <c r="CE603" s="26"/>
      <c r="CF603" s="26"/>
      <c r="CG603" s="26"/>
      <c r="CH603" s="26"/>
      <c r="CI603" s="26"/>
      <c r="CJ603" s="26"/>
      <c r="CK603" s="26"/>
      <c r="CL603" s="26"/>
      <c r="CM603" s="26"/>
      <c r="CN603" s="26"/>
      <c r="CO603" s="26"/>
      <c r="CP603" s="26"/>
      <c r="CQ603" s="26"/>
      <c r="CR603" s="26"/>
    </row>
    <row r="604" spans="1:96" ht="15.5" x14ac:dyDescent="0.3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6"/>
      <c r="CC604" s="26"/>
      <c r="CD604" s="26"/>
      <c r="CE604" s="26"/>
      <c r="CF604" s="26"/>
      <c r="CG604" s="26"/>
      <c r="CH604" s="26"/>
      <c r="CI604" s="26"/>
      <c r="CJ604" s="26"/>
      <c r="CK604" s="26"/>
      <c r="CL604" s="26"/>
      <c r="CM604" s="26"/>
      <c r="CN604" s="26"/>
      <c r="CO604" s="26"/>
      <c r="CP604" s="26"/>
      <c r="CQ604" s="26"/>
      <c r="CR604" s="26"/>
    </row>
    <row r="605" spans="1:96" ht="15.5" x14ac:dyDescent="0.3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6"/>
      <c r="CC605" s="26"/>
      <c r="CD605" s="26"/>
      <c r="CE605" s="26"/>
      <c r="CF605" s="26"/>
      <c r="CG605" s="26"/>
      <c r="CH605" s="26"/>
      <c r="CI605" s="26"/>
      <c r="CJ605" s="26"/>
      <c r="CK605" s="26"/>
      <c r="CL605" s="26"/>
      <c r="CM605" s="26"/>
      <c r="CN605" s="26"/>
      <c r="CO605" s="26"/>
      <c r="CP605" s="26"/>
      <c r="CQ605" s="26"/>
      <c r="CR605" s="26"/>
    </row>
    <row r="606" spans="1:96" ht="15.5" x14ac:dyDescent="0.3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6"/>
      <c r="CC606" s="26"/>
      <c r="CD606" s="26"/>
      <c r="CE606" s="26"/>
      <c r="CF606" s="26"/>
      <c r="CG606" s="26"/>
      <c r="CH606" s="26"/>
      <c r="CI606" s="26"/>
      <c r="CJ606" s="26"/>
      <c r="CK606" s="26"/>
      <c r="CL606" s="26"/>
      <c r="CM606" s="26"/>
      <c r="CN606" s="26"/>
      <c r="CO606" s="26"/>
      <c r="CP606" s="26"/>
      <c r="CQ606" s="26"/>
      <c r="CR606" s="26"/>
    </row>
    <row r="607" spans="1:96" ht="15.5" x14ac:dyDescent="0.3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6"/>
      <c r="CC607" s="26"/>
      <c r="CD607" s="26"/>
      <c r="CE607" s="26"/>
      <c r="CF607" s="26"/>
      <c r="CG607" s="26"/>
      <c r="CH607" s="26"/>
      <c r="CI607" s="26"/>
      <c r="CJ607" s="26"/>
      <c r="CK607" s="26"/>
      <c r="CL607" s="26"/>
      <c r="CM607" s="26"/>
      <c r="CN607" s="26"/>
      <c r="CO607" s="26"/>
      <c r="CP607" s="26"/>
      <c r="CQ607" s="26"/>
      <c r="CR607" s="26"/>
    </row>
    <row r="608" spans="1:96" ht="15.5" x14ac:dyDescent="0.3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6"/>
      <c r="CC608" s="26"/>
      <c r="CD608" s="26"/>
      <c r="CE608" s="26"/>
      <c r="CF608" s="26"/>
      <c r="CG608" s="26"/>
      <c r="CH608" s="26"/>
      <c r="CI608" s="26"/>
      <c r="CJ608" s="26"/>
      <c r="CK608" s="26"/>
      <c r="CL608" s="26"/>
      <c r="CM608" s="26"/>
      <c r="CN608" s="26"/>
      <c r="CO608" s="26"/>
      <c r="CP608" s="26"/>
      <c r="CQ608" s="26"/>
      <c r="CR608" s="26"/>
    </row>
    <row r="609" spans="1:96" ht="15.5" x14ac:dyDescent="0.3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6"/>
      <c r="CC609" s="26"/>
      <c r="CD609" s="26"/>
      <c r="CE609" s="26"/>
      <c r="CF609" s="26"/>
      <c r="CG609" s="26"/>
      <c r="CH609" s="26"/>
      <c r="CI609" s="26"/>
      <c r="CJ609" s="26"/>
      <c r="CK609" s="26"/>
      <c r="CL609" s="26"/>
      <c r="CM609" s="26"/>
      <c r="CN609" s="26"/>
      <c r="CO609" s="26"/>
      <c r="CP609" s="26"/>
      <c r="CQ609" s="26"/>
      <c r="CR609" s="26"/>
    </row>
    <row r="610" spans="1:96" ht="15.5" x14ac:dyDescent="0.3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6"/>
      <c r="CC610" s="26"/>
      <c r="CD610" s="26"/>
      <c r="CE610" s="26"/>
      <c r="CF610" s="26"/>
      <c r="CG610" s="26"/>
      <c r="CH610" s="26"/>
      <c r="CI610" s="26"/>
      <c r="CJ610" s="26"/>
      <c r="CK610" s="26"/>
      <c r="CL610" s="26"/>
      <c r="CM610" s="26"/>
      <c r="CN610" s="26"/>
      <c r="CO610" s="26"/>
      <c r="CP610" s="26"/>
      <c r="CQ610" s="26"/>
      <c r="CR610" s="26"/>
    </row>
    <row r="611" spans="1:96" ht="15.5" x14ac:dyDescent="0.3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6"/>
      <c r="CC611" s="26"/>
      <c r="CD611" s="26"/>
      <c r="CE611" s="26"/>
      <c r="CF611" s="26"/>
      <c r="CG611" s="26"/>
      <c r="CH611" s="26"/>
      <c r="CI611" s="26"/>
      <c r="CJ611" s="26"/>
      <c r="CK611" s="26"/>
      <c r="CL611" s="26"/>
      <c r="CM611" s="26"/>
      <c r="CN611" s="26"/>
      <c r="CO611" s="26"/>
      <c r="CP611" s="26"/>
      <c r="CQ611" s="26"/>
      <c r="CR611" s="26"/>
    </row>
    <row r="612" spans="1:96" ht="15.5" x14ac:dyDescent="0.3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6"/>
      <c r="CC612" s="26"/>
      <c r="CD612" s="26"/>
      <c r="CE612" s="26"/>
      <c r="CF612" s="26"/>
      <c r="CG612" s="26"/>
      <c r="CH612" s="26"/>
      <c r="CI612" s="26"/>
      <c r="CJ612" s="26"/>
      <c r="CK612" s="26"/>
      <c r="CL612" s="26"/>
      <c r="CM612" s="26"/>
      <c r="CN612" s="26"/>
      <c r="CO612" s="26"/>
      <c r="CP612" s="26"/>
      <c r="CQ612" s="26"/>
      <c r="CR612" s="26"/>
    </row>
    <row r="613" spans="1:96" ht="15.5" x14ac:dyDescent="0.3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6"/>
      <c r="CC613" s="26"/>
      <c r="CD613" s="26"/>
      <c r="CE613" s="26"/>
      <c r="CF613" s="26"/>
      <c r="CG613" s="26"/>
      <c r="CH613" s="26"/>
      <c r="CI613" s="26"/>
      <c r="CJ613" s="26"/>
      <c r="CK613" s="26"/>
      <c r="CL613" s="26"/>
      <c r="CM613" s="26"/>
      <c r="CN613" s="26"/>
      <c r="CO613" s="26"/>
      <c r="CP613" s="26"/>
      <c r="CQ613" s="26"/>
      <c r="CR613" s="26"/>
    </row>
    <row r="614" spans="1:96" ht="15.5" x14ac:dyDescent="0.3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  <c r="BU614" s="26"/>
      <c r="BV614" s="26"/>
      <c r="BW614" s="26"/>
      <c r="BX614" s="26"/>
      <c r="BY614" s="26"/>
      <c r="BZ614" s="26"/>
      <c r="CA614" s="26"/>
      <c r="CB614" s="26"/>
      <c r="CC614" s="26"/>
      <c r="CD614" s="26"/>
      <c r="CE614" s="26"/>
      <c r="CF614" s="26"/>
      <c r="CG614" s="26"/>
      <c r="CH614" s="26"/>
      <c r="CI614" s="26"/>
      <c r="CJ614" s="26"/>
      <c r="CK614" s="26"/>
      <c r="CL614" s="26"/>
      <c r="CM614" s="26"/>
      <c r="CN614" s="26"/>
      <c r="CO614" s="26"/>
      <c r="CP614" s="26"/>
      <c r="CQ614" s="26"/>
      <c r="CR614" s="26"/>
    </row>
    <row r="615" spans="1:96" ht="15.5" x14ac:dyDescent="0.3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6"/>
      <c r="CC615" s="26"/>
      <c r="CD615" s="26"/>
      <c r="CE615" s="26"/>
      <c r="CF615" s="26"/>
      <c r="CG615" s="26"/>
      <c r="CH615" s="26"/>
      <c r="CI615" s="26"/>
      <c r="CJ615" s="26"/>
      <c r="CK615" s="26"/>
      <c r="CL615" s="26"/>
      <c r="CM615" s="26"/>
      <c r="CN615" s="26"/>
      <c r="CO615" s="26"/>
      <c r="CP615" s="26"/>
      <c r="CQ615" s="26"/>
      <c r="CR615" s="26"/>
    </row>
    <row r="616" spans="1:96" ht="15.5" x14ac:dyDescent="0.3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6"/>
      <c r="CC616" s="26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</row>
    <row r="617" spans="1:96" ht="15.5" x14ac:dyDescent="0.3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6"/>
      <c r="CC617" s="26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</row>
    <row r="618" spans="1:96" ht="15.5" x14ac:dyDescent="0.3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6"/>
      <c r="CC618" s="26"/>
      <c r="CD618" s="26"/>
      <c r="CE618" s="26"/>
      <c r="CF618" s="26"/>
      <c r="CG618" s="26"/>
      <c r="CH618" s="26"/>
      <c r="CI618" s="26"/>
      <c r="CJ618" s="26"/>
      <c r="CK618" s="26"/>
      <c r="CL618" s="26"/>
      <c r="CM618" s="26"/>
      <c r="CN618" s="26"/>
      <c r="CO618" s="26"/>
      <c r="CP618" s="26"/>
      <c r="CQ618" s="26"/>
      <c r="CR618" s="26"/>
    </row>
    <row r="619" spans="1:96" ht="15.5" x14ac:dyDescent="0.3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6"/>
      <c r="CC619" s="26"/>
      <c r="CD619" s="26"/>
      <c r="CE619" s="26"/>
      <c r="CF619" s="26"/>
      <c r="CG619" s="26"/>
      <c r="CH619" s="26"/>
      <c r="CI619" s="26"/>
      <c r="CJ619" s="26"/>
      <c r="CK619" s="26"/>
      <c r="CL619" s="26"/>
      <c r="CM619" s="26"/>
      <c r="CN619" s="26"/>
      <c r="CO619" s="26"/>
      <c r="CP619" s="26"/>
      <c r="CQ619" s="26"/>
      <c r="CR619" s="26"/>
    </row>
    <row r="620" spans="1:96" ht="15.5" x14ac:dyDescent="0.3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6"/>
      <c r="CC620" s="26"/>
      <c r="CD620" s="26"/>
      <c r="CE620" s="26"/>
      <c r="CF620" s="26"/>
      <c r="CG620" s="26"/>
      <c r="CH620" s="26"/>
      <c r="CI620" s="26"/>
      <c r="CJ620" s="26"/>
      <c r="CK620" s="26"/>
      <c r="CL620" s="26"/>
      <c r="CM620" s="26"/>
      <c r="CN620" s="26"/>
      <c r="CO620" s="26"/>
      <c r="CP620" s="26"/>
      <c r="CQ620" s="26"/>
      <c r="CR620" s="26"/>
    </row>
    <row r="621" spans="1:96" ht="15.5" x14ac:dyDescent="0.3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6"/>
      <c r="CC621" s="26"/>
      <c r="CD621" s="26"/>
      <c r="CE621" s="26"/>
      <c r="CF621" s="26"/>
      <c r="CG621" s="26"/>
      <c r="CH621" s="26"/>
      <c r="CI621" s="26"/>
      <c r="CJ621" s="26"/>
      <c r="CK621" s="26"/>
      <c r="CL621" s="26"/>
      <c r="CM621" s="26"/>
      <c r="CN621" s="26"/>
      <c r="CO621" s="26"/>
      <c r="CP621" s="26"/>
      <c r="CQ621" s="26"/>
      <c r="CR621" s="26"/>
    </row>
    <row r="622" spans="1:96" ht="15.5" x14ac:dyDescent="0.3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6"/>
      <c r="CC622" s="26"/>
      <c r="CD622" s="26"/>
      <c r="CE622" s="26"/>
      <c r="CF622" s="26"/>
      <c r="CG622" s="26"/>
      <c r="CH622" s="26"/>
      <c r="CI622" s="26"/>
      <c r="CJ622" s="26"/>
      <c r="CK622" s="26"/>
      <c r="CL622" s="26"/>
      <c r="CM622" s="26"/>
      <c r="CN622" s="26"/>
      <c r="CO622" s="26"/>
      <c r="CP622" s="26"/>
      <c r="CQ622" s="26"/>
      <c r="CR622" s="26"/>
    </row>
    <row r="623" spans="1:96" ht="15.5" x14ac:dyDescent="0.3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6"/>
      <c r="CC623" s="26"/>
      <c r="CD623" s="26"/>
      <c r="CE623" s="26"/>
      <c r="CF623" s="26"/>
      <c r="CG623" s="26"/>
      <c r="CH623" s="26"/>
      <c r="CI623" s="26"/>
      <c r="CJ623" s="26"/>
      <c r="CK623" s="26"/>
      <c r="CL623" s="26"/>
      <c r="CM623" s="26"/>
      <c r="CN623" s="26"/>
      <c r="CO623" s="26"/>
      <c r="CP623" s="26"/>
      <c r="CQ623" s="26"/>
      <c r="CR623" s="26"/>
    </row>
    <row r="624" spans="1:96" ht="15.5" x14ac:dyDescent="0.3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6"/>
      <c r="CC624" s="26"/>
      <c r="CD624" s="26"/>
      <c r="CE624" s="26"/>
      <c r="CF624" s="26"/>
      <c r="CG624" s="26"/>
      <c r="CH624" s="26"/>
      <c r="CI624" s="26"/>
      <c r="CJ624" s="26"/>
      <c r="CK624" s="26"/>
      <c r="CL624" s="26"/>
      <c r="CM624" s="26"/>
      <c r="CN624" s="26"/>
      <c r="CO624" s="26"/>
      <c r="CP624" s="26"/>
      <c r="CQ624" s="26"/>
      <c r="CR624" s="26"/>
    </row>
    <row r="625" spans="1:96" ht="15.5" x14ac:dyDescent="0.3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6"/>
      <c r="CC625" s="26"/>
      <c r="CD625" s="26"/>
      <c r="CE625" s="26"/>
      <c r="CF625" s="26"/>
      <c r="CG625" s="26"/>
      <c r="CH625" s="26"/>
      <c r="CI625" s="26"/>
      <c r="CJ625" s="26"/>
      <c r="CK625" s="26"/>
      <c r="CL625" s="26"/>
      <c r="CM625" s="26"/>
      <c r="CN625" s="26"/>
      <c r="CO625" s="26"/>
      <c r="CP625" s="26"/>
      <c r="CQ625" s="26"/>
      <c r="CR625" s="26"/>
    </row>
    <row r="626" spans="1:96" ht="15.5" x14ac:dyDescent="0.3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6"/>
      <c r="CC626" s="26"/>
      <c r="CD626" s="26"/>
      <c r="CE626" s="26"/>
      <c r="CF626" s="26"/>
      <c r="CG626" s="26"/>
      <c r="CH626" s="26"/>
      <c r="CI626" s="26"/>
      <c r="CJ626" s="26"/>
      <c r="CK626" s="26"/>
      <c r="CL626" s="26"/>
      <c r="CM626" s="26"/>
      <c r="CN626" s="26"/>
      <c r="CO626" s="26"/>
      <c r="CP626" s="26"/>
      <c r="CQ626" s="26"/>
      <c r="CR626" s="26"/>
    </row>
    <row r="627" spans="1:96" ht="15.5" x14ac:dyDescent="0.3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6"/>
      <c r="CC627" s="26"/>
      <c r="CD627" s="26"/>
      <c r="CE627" s="26"/>
      <c r="CF627" s="26"/>
      <c r="CG627" s="26"/>
      <c r="CH627" s="26"/>
      <c r="CI627" s="26"/>
      <c r="CJ627" s="26"/>
      <c r="CK627" s="26"/>
      <c r="CL627" s="26"/>
      <c r="CM627" s="26"/>
      <c r="CN627" s="26"/>
      <c r="CO627" s="26"/>
      <c r="CP627" s="26"/>
      <c r="CQ627" s="26"/>
      <c r="CR627" s="26"/>
    </row>
    <row r="628" spans="1:96" ht="15.5" x14ac:dyDescent="0.3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6"/>
      <c r="CC628" s="26"/>
      <c r="CD628" s="26"/>
      <c r="CE628" s="26"/>
      <c r="CF628" s="26"/>
      <c r="CG628" s="26"/>
      <c r="CH628" s="26"/>
      <c r="CI628" s="26"/>
      <c r="CJ628" s="26"/>
      <c r="CK628" s="26"/>
      <c r="CL628" s="26"/>
      <c r="CM628" s="26"/>
      <c r="CN628" s="26"/>
      <c r="CO628" s="26"/>
      <c r="CP628" s="26"/>
      <c r="CQ628" s="26"/>
      <c r="CR628" s="26"/>
    </row>
    <row r="629" spans="1:96" ht="15.5" x14ac:dyDescent="0.3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6"/>
      <c r="CC629" s="26"/>
      <c r="CD629" s="26"/>
      <c r="CE629" s="26"/>
      <c r="CF629" s="26"/>
      <c r="CG629" s="26"/>
      <c r="CH629" s="26"/>
      <c r="CI629" s="26"/>
      <c r="CJ629" s="26"/>
      <c r="CK629" s="26"/>
      <c r="CL629" s="26"/>
      <c r="CM629" s="26"/>
      <c r="CN629" s="26"/>
      <c r="CO629" s="26"/>
      <c r="CP629" s="26"/>
      <c r="CQ629" s="26"/>
      <c r="CR629" s="26"/>
    </row>
    <row r="630" spans="1:96" ht="15.5" x14ac:dyDescent="0.3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  <c r="BU630" s="26"/>
      <c r="BV630" s="26"/>
      <c r="BW630" s="26"/>
      <c r="BX630" s="26"/>
      <c r="BY630" s="26"/>
      <c r="BZ630" s="26"/>
      <c r="CA630" s="26"/>
      <c r="CB630" s="26"/>
      <c r="CC630" s="26"/>
      <c r="CD630" s="26"/>
      <c r="CE630" s="26"/>
      <c r="CF630" s="26"/>
      <c r="CG630" s="26"/>
      <c r="CH630" s="26"/>
      <c r="CI630" s="26"/>
      <c r="CJ630" s="26"/>
      <c r="CK630" s="26"/>
      <c r="CL630" s="26"/>
      <c r="CM630" s="26"/>
      <c r="CN630" s="26"/>
      <c r="CO630" s="26"/>
      <c r="CP630" s="26"/>
      <c r="CQ630" s="26"/>
      <c r="CR630" s="26"/>
    </row>
    <row r="631" spans="1:96" ht="15.5" x14ac:dyDescent="0.3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6"/>
      <c r="CC631" s="26"/>
      <c r="CD631" s="26"/>
      <c r="CE631" s="26"/>
      <c r="CF631" s="26"/>
      <c r="CG631" s="26"/>
      <c r="CH631" s="26"/>
      <c r="CI631" s="26"/>
      <c r="CJ631" s="26"/>
      <c r="CK631" s="26"/>
      <c r="CL631" s="26"/>
      <c r="CM631" s="26"/>
      <c r="CN631" s="26"/>
      <c r="CO631" s="26"/>
      <c r="CP631" s="26"/>
      <c r="CQ631" s="26"/>
      <c r="CR631" s="26"/>
    </row>
    <row r="632" spans="1:96" ht="15.5" x14ac:dyDescent="0.3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6"/>
      <c r="CC632" s="26"/>
      <c r="CD632" s="26"/>
      <c r="CE632" s="26"/>
      <c r="CF632" s="26"/>
      <c r="CG632" s="26"/>
      <c r="CH632" s="26"/>
      <c r="CI632" s="26"/>
      <c r="CJ632" s="26"/>
      <c r="CK632" s="26"/>
      <c r="CL632" s="26"/>
      <c r="CM632" s="26"/>
      <c r="CN632" s="26"/>
      <c r="CO632" s="26"/>
      <c r="CP632" s="26"/>
      <c r="CQ632" s="26"/>
      <c r="CR632" s="26"/>
    </row>
    <row r="633" spans="1:96" ht="15.5" x14ac:dyDescent="0.3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6"/>
      <c r="CC633" s="26"/>
      <c r="CD633" s="26"/>
      <c r="CE633" s="26"/>
      <c r="CF633" s="26"/>
      <c r="CG633" s="26"/>
      <c r="CH633" s="26"/>
      <c r="CI633" s="26"/>
      <c r="CJ633" s="26"/>
      <c r="CK633" s="26"/>
      <c r="CL633" s="26"/>
      <c r="CM633" s="26"/>
      <c r="CN633" s="26"/>
      <c r="CO633" s="26"/>
      <c r="CP633" s="26"/>
      <c r="CQ633" s="26"/>
      <c r="CR633" s="26"/>
    </row>
    <row r="634" spans="1:96" ht="15.5" x14ac:dyDescent="0.3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6"/>
      <c r="CC634" s="26"/>
      <c r="CD634" s="26"/>
      <c r="CE634" s="26"/>
      <c r="CF634" s="26"/>
      <c r="CG634" s="26"/>
      <c r="CH634" s="26"/>
      <c r="CI634" s="26"/>
      <c r="CJ634" s="26"/>
      <c r="CK634" s="26"/>
      <c r="CL634" s="26"/>
      <c r="CM634" s="26"/>
      <c r="CN634" s="26"/>
      <c r="CO634" s="26"/>
      <c r="CP634" s="26"/>
      <c r="CQ634" s="26"/>
      <c r="CR634" s="26"/>
    </row>
    <row r="635" spans="1:96" ht="15.5" x14ac:dyDescent="0.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6"/>
      <c r="CC635" s="26"/>
      <c r="CD635" s="26"/>
      <c r="CE635" s="26"/>
      <c r="CF635" s="26"/>
      <c r="CG635" s="26"/>
      <c r="CH635" s="26"/>
      <c r="CI635" s="26"/>
      <c r="CJ635" s="26"/>
      <c r="CK635" s="26"/>
      <c r="CL635" s="26"/>
      <c r="CM635" s="26"/>
      <c r="CN635" s="26"/>
      <c r="CO635" s="26"/>
      <c r="CP635" s="26"/>
      <c r="CQ635" s="26"/>
      <c r="CR635" s="26"/>
    </row>
    <row r="636" spans="1:96" ht="15.5" x14ac:dyDescent="0.3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6"/>
      <c r="CC636" s="26"/>
      <c r="CD636" s="26"/>
      <c r="CE636" s="26"/>
      <c r="CF636" s="26"/>
      <c r="CG636" s="26"/>
      <c r="CH636" s="26"/>
      <c r="CI636" s="26"/>
      <c r="CJ636" s="26"/>
      <c r="CK636" s="26"/>
      <c r="CL636" s="26"/>
      <c r="CM636" s="26"/>
      <c r="CN636" s="26"/>
      <c r="CO636" s="26"/>
      <c r="CP636" s="26"/>
      <c r="CQ636" s="26"/>
      <c r="CR636" s="26"/>
    </row>
    <row r="637" spans="1:96" ht="15.5" x14ac:dyDescent="0.3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6"/>
      <c r="CC637" s="26"/>
      <c r="CD637" s="26"/>
      <c r="CE637" s="26"/>
      <c r="CF637" s="26"/>
      <c r="CG637" s="26"/>
      <c r="CH637" s="26"/>
      <c r="CI637" s="26"/>
      <c r="CJ637" s="26"/>
      <c r="CK637" s="26"/>
      <c r="CL637" s="26"/>
      <c r="CM637" s="26"/>
      <c r="CN637" s="26"/>
      <c r="CO637" s="26"/>
      <c r="CP637" s="26"/>
      <c r="CQ637" s="26"/>
      <c r="CR637" s="26"/>
    </row>
    <row r="638" spans="1:96" ht="15.5" x14ac:dyDescent="0.3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6"/>
      <c r="CC638" s="26"/>
      <c r="CD638" s="26"/>
      <c r="CE638" s="26"/>
      <c r="CF638" s="26"/>
      <c r="CG638" s="26"/>
      <c r="CH638" s="26"/>
      <c r="CI638" s="26"/>
      <c r="CJ638" s="26"/>
      <c r="CK638" s="26"/>
      <c r="CL638" s="26"/>
      <c r="CM638" s="26"/>
      <c r="CN638" s="26"/>
      <c r="CO638" s="26"/>
      <c r="CP638" s="26"/>
      <c r="CQ638" s="26"/>
      <c r="CR638" s="26"/>
    </row>
    <row r="639" spans="1:96" ht="15.5" x14ac:dyDescent="0.3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6"/>
      <c r="CC639" s="26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</row>
    <row r="640" spans="1:96" ht="15.5" x14ac:dyDescent="0.35"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6"/>
      <c r="CC640" s="26"/>
      <c r="CD640" s="26"/>
      <c r="CE640" s="26"/>
      <c r="CF640" s="26"/>
      <c r="CG640" s="26"/>
      <c r="CH640" s="26"/>
      <c r="CI640" s="26"/>
      <c r="CJ640" s="26"/>
      <c r="CK640" s="26"/>
      <c r="CL640" s="26"/>
      <c r="CM640" s="26"/>
      <c r="CN640" s="26"/>
      <c r="CO640" s="26"/>
      <c r="CP640" s="26"/>
      <c r="CQ640" s="26"/>
      <c r="CR640" s="26"/>
    </row>
    <row r="641" spans="7:96" ht="15.5" x14ac:dyDescent="0.35"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  <c r="BY641" s="26"/>
      <c r="BZ641" s="26"/>
      <c r="CA641" s="26"/>
      <c r="CB641" s="26"/>
      <c r="CC641" s="26"/>
      <c r="CD641" s="26"/>
      <c r="CE641" s="26"/>
      <c r="CF641" s="26"/>
      <c r="CG641" s="26"/>
      <c r="CH641" s="26"/>
      <c r="CI641" s="26"/>
      <c r="CJ641" s="26"/>
      <c r="CK641" s="26"/>
      <c r="CL641" s="26"/>
      <c r="CM641" s="26"/>
      <c r="CN641" s="26"/>
      <c r="CO641" s="26"/>
      <c r="CP641" s="26"/>
      <c r="CQ641" s="26"/>
      <c r="CR641" s="26"/>
    </row>
    <row r="642" spans="7:96" ht="15.5" x14ac:dyDescent="0.35"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6"/>
      <c r="CC642" s="26"/>
      <c r="CD642" s="26"/>
      <c r="CE642" s="26"/>
      <c r="CF642" s="26"/>
      <c r="CG642" s="26"/>
      <c r="CH642" s="26"/>
      <c r="CI642" s="26"/>
      <c r="CJ642" s="26"/>
      <c r="CK642" s="26"/>
      <c r="CL642" s="26"/>
      <c r="CM642" s="26"/>
      <c r="CN642" s="26"/>
      <c r="CO642" s="26"/>
      <c r="CP642" s="26"/>
      <c r="CQ642" s="26"/>
      <c r="CR642" s="26"/>
    </row>
    <row r="643" spans="7:96" ht="15.5" x14ac:dyDescent="0.35"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  <c r="BY643" s="26"/>
      <c r="BZ643" s="26"/>
      <c r="CA643" s="26"/>
      <c r="CB643" s="26"/>
      <c r="CC643" s="26"/>
      <c r="CD643" s="26"/>
      <c r="CE643" s="26"/>
      <c r="CF643" s="26"/>
      <c r="CG643" s="26"/>
      <c r="CH643" s="26"/>
      <c r="CI643" s="26"/>
      <c r="CJ643" s="26"/>
      <c r="CK643" s="26"/>
      <c r="CL643" s="26"/>
      <c r="CM643" s="26"/>
      <c r="CN643" s="26"/>
      <c r="CO643" s="26"/>
      <c r="CP643" s="26"/>
      <c r="CQ643" s="26"/>
      <c r="CR643" s="26"/>
    </row>
    <row r="644" spans="7:96" ht="15.5" x14ac:dyDescent="0.35">
      <c r="G644" s="26"/>
    </row>
    <row r="645" spans="7:96" ht="15.5" x14ac:dyDescent="0.35">
      <c r="G645" s="26"/>
    </row>
    <row r="646" spans="7:96" ht="15.5" x14ac:dyDescent="0.35">
      <c r="G646" s="26"/>
    </row>
    <row r="647" spans="7:96" ht="15.5" x14ac:dyDescent="0.35">
      <c r="G647" s="26"/>
    </row>
  </sheetData>
  <sheetProtection password="F962" sheet="1" objects="1" scenarios="1"/>
  <mergeCells count="4">
    <mergeCell ref="B8:F8"/>
    <mergeCell ref="B10:E10"/>
    <mergeCell ref="B12:E12"/>
    <mergeCell ref="B14: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0" tint="-0.34998626667073579"/>
    <pageSetUpPr fitToPage="1"/>
  </sheetPr>
  <dimension ref="A1:AN97"/>
  <sheetViews>
    <sheetView showGridLines="0" tabSelected="1" zoomScale="80" zoomScaleNormal="80" workbookViewId="0">
      <selection activeCell="C6" sqref="C6"/>
    </sheetView>
  </sheetViews>
  <sheetFormatPr defaultColWidth="9.1796875" defaultRowHeight="14.5" x14ac:dyDescent="0.35"/>
  <cols>
    <col min="1" max="1" width="3.453125" style="38" customWidth="1"/>
    <col min="2" max="2" width="17" style="38" customWidth="1"/>
    <col min="3" max="3" width="46.1796875" style="38" customWidth="1"/>
    <col min="4" max="4" width="37.7265625" style="38" customWidth="1"/>
    <col min="5" max="5" width="9.26953125" style="38" customWidth="1"/>
    <col min="6" max="6" width="3.7265625" style="91" customWidth="1"/>
    <col min="7" max="7" width="9.26953125" style="38" customWidth="1"/>
    <col min="8" max="8" width="3.7265625" style="91" customWidth="1"/>
    <col min="9" max="9" width="9.26953125" style="38" customWidth="1"/>
    <col min="10" max="10" width="3.7265625" style="91" customWidth="1"/>
    <col min="11" max="11" width="9.26953125" style="38" customWidth="1"/>
    <col min="12" max="12" width="3.7265625" style="91" customWidth="1"/>
    <col min="13" max="13" width="9.26953125" style="38" customWidth="1"/>
    <col min="14" max="14" width="3.7265625" style="91" customWidth="1"/>
    <col min="15" max="15" width="8.453125" style="38" customWidth="1"/>
    <col min="16" max="16" width="3.7265625" style="91" customWidth="1"/>
    <col min="17" max="26" width="4.81640625" style="38" customWidth="1"/>
    <col min="27" max="27" width="15.7265625" style="38" bestFit="1" customWidth="1"/>
    <col min="28" max="16384" width="9.1796875" style="38"/>
  </cols>
  <sheetData>
    <row r="1" spans="1:34" s="89" customFormat="1" ht="41.25" customHeight="1" x14ac:dyDescent="0.45">
      <c r="B1" s="174" t="s">
        <v>156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34" x14ac:dyDescent="0.35">
      <c r="A2" s="90" t="s">
        <v>161</v>
      </c>
    </row>
    <row r="3" spans="1:34" ht="15.5" x14ac:dyDescent="0.35">
      <c r="M3" s="92" t="s">
        <v>115</v>
      </c>
      <c r="P3" s="38"/>
    </row>
    <row r="4" spans="1:34" ht="15.5" x14ac:dyDescent="0.35">
      <c r="B4" s="93">
        <v>1</v>
      </c>
      <c r="C4" s="94" t="s">
        <v>82</v>
      </c>
      <c r="D4" s="13" t="s">
        <v>74</v>
      </c>
      <c r="E4" s="92"/>
      <c r="F4" s="95"/>
      <c r="G4" s="92"/>
      <c r="H4" s="95"/>
      <c r="M4" s="96"/>
      <c r="N4" s="95" t="s">
        <v>116</v>
      </c>
      <c r="P4" s="38"/>
    </row>
    <row r="5" spans="1:34" ht="15.5" x14ac:dyDescent="0.35">
      <c r="B5" s="93">
        <v>2</v>
      </c>
      <c r="C5" s="94" t="s">
        <v>83</v>
      </c>
      <c r="D5" s="13" t="s">
        <v>76</v>
      </c>
      <c r="E5" s="92"/>
      <c r="F5" s="95"/>
      <c r="G5" s="92"/>
      <c r="H5" s="95"/>
      <c r="M5" s="97"/>
      <c r="N5" s="38" t="s">
        <v>117</v>
      </c>
      <c r="P5" s="38"/>
    </row>
    <row r="6" spans="1:34" ht="95" x14ac:dyDescent="0.35">
      <c r="B6" s="93">
        <v>3</v>
      </c>
      <c r="C6" s="98" t="s">
        <v>162</v>
      </c>
      <c r="D6" s="14" t="s">
        <v>78</v>
      </c>
      <c r="E6" s="99"/>
      <c r="F6" s="95"/>
      <c r="G6" s="92"/>
      <c r="H6" s="95"/>
      <c r="I6" s="92"/>
      <c r="J6" s="95"/>
      <c r="K6" s="92"/>
      <c r="L6" s="95"/>
    </row>
    <row r="7" spans="1:34" ht="99" x14ac:dyDescent="0.35">
      <c r="B7" s="93">
        <v>4</v>
      </c>
      <c r="C7" s="98" t="s">
        <v>158</v>
      </c>
      <c r="D7" s="14" t="s">
        <v>78</v>
      </c>
      <c r="E7" s="99"/>
      <c r="F7" s="95"/>
      <c r="G7" s="92"/>
      <c r="H7" s="95"/>
      <c r="I7" s="92"/>
      <c r="J7" s="95"/>
      <c r="K7" s="92"/>
      <c r="L7" s="95"/>
    </row>
    <row r="8" spans="1:34" ht="37.5" customHeight="1" x14ac:dyDescent="0.35">
      <c r="B8" s="92"/>
      <c r="C8" s="100" t="s">
        <v>80</v>
      </c>
      <c r="D8" s="101" t="str">
        <f>IF(D6="Yes","Heat Pump","Low Temperature Heat Pump")</f>
        <v>Heat Pump</v>
      </c>
      <c r="E8" s="175" t="str">
        <f>IF(AND(D8="Low Temperature Heat Pump",D9="Very High Temperature Heat Pump"),"Test data for VHTHP's signifies a flow temperautre greater than 52oC for ErP classification, Change D6 to YES","")</f>
        <v/>
      </c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</row>
    <row r="9" spans="1:34" ht="37.5" customHeight="1" x14ac:dyDescent="0.35">
      <c r="B9" s="92"/>
      <c r="C9" s="100" t="s">
        <v>81</v>
      </c>
      <c r="D9" s="102" t="str">
        <f>IF(AND(D6="No",D7="No"),"Low Temperature Heat Pump",IF(AND(D6="Yes",D7="No"),"Heat Pump","Very High Temperature Heat Pump"))</f>
        <v>Very High Temperature Heat Pump</v>
      </c>
      <c r="E9" s="92"/>
      <c r="F9" s="95"/>
      <c r="G9" s="92"/>
      <c r="H9" s="95"/>
      <c r="I9" s="92"/>
      <c r="J9" s="95"/>
      <c r="K9" s="92"/>
      <c r="L9" s="95"/>
      <c r="Z9" s="52"/>
      <c r="AA9" s="52"/>
      <c r="AB9" s="52"/>
      <c r="AC9" s="52"/>
      <c r="AD9" s="52"/>
      <c r="AE9" s="52"/>
      <c r="AF9" s="52"/>
    </row>
    <row r="10" spans="1:34" ht="37.5" customHeight="1" x14ac:dyDescent="0.35">
      <c r="B10" s="92"/>
      <c r="C10" s="103" t="s">
        <v>159</v>
      </c>
      <c r="D10" s="102" t="str">
        <f>IF(D8="Heat Pump","55oC and 35oC","35oC")</f>
        <v>55oC and 35oC</v>
      </c>
      <c r="E10" s="92"/>
      <c r="F10" s="95"/>
      <c r="G10" s="92"/>
      <c r="H10" s="95"/>
      <c r="I10" s="92"/>
      <c r="J10" s="95"/>
      <c r="K10" s="92"/>
      <c r="L10" s="95"/>
      <c r="Z10" s="52"/>
      <c r="AA10" s="90"/>
      <c r="AB10" s="90"/>
      <c r="AC10" s="90"/>
      <c r="AD10" s="90"/>
      <c r="AE10" s="90"/>
      <c r="AF10" s="90"/>
    </row>
    <row r="11" spans="1:34" ht="17.5" x14ac:dyDescent="0.35">
      <c r="B11" s="104" t="s">
        <v>88</v>
      </c>
      <c r="C11" s="105" t="s">
        <v>86</v>
      </c>
      <c r="D11" s="92"/>
      <c r="E11" s="92"/>
      <c r="F11" s="95"/>
      <c r="G11" s="92"/>
      <c r="H11" s="95"/>
      <c r="I11" s="92"/>
      <c r="J11" s="95"/>
      <c r="K11" s="92"/>
      <c r="L11" s="95"/>
      <c r="Z11" s="52"/>
      <c r="AA11" s="90"/>
      <c r="AB11" s="90" t="s">
        <v>74</v>
      </c>
      <c r="AC11" s="90"/>
      <c r="AD11" s="90"/>
      <c r="AE11" s="90"/>
      <c r="AF11" s="90"/>
    </row>
    <row r="12" spans="1:34" ht="17.5" x14ac:dyDescent="0.35">
      <c r="B12" s="92"/>
      <c r="C12" s="105" t="s">
        <v>87</v>
      </c>
      <c r="D12" s="92"/>
      <c r="E12" s="92"/>
      <c r="F12" s="95"/>
      <c r="G12" s="92"/>
      <c r="H12" s="95"/>
      <c r="I12" s="92"/>
      <c r="J12" s="95"/>
      <c r="K12" s="92"/>
      <c r="L12" s="95"/>
      <c r="Z12" s="52"/>
      <c r="AA12" s="90"/>
      <c r="AB12" s="90" t="s">
        <v>73</v>
      </c>
      <c r="AC12" s="90"/>
      <c r="AD12" s="90"/>
      <c r="AE12" s="90"/>
      <c r="AF12" s="90"/>
    </row>
    <row r="13" spans="1:34" ht="18" thickBot="1" x14ac:dyDescent="0.4">
      <c r="B13" s="92"/>
      <c r="C13" s="105" t="s">
        <v>85</v>
      </c>
      <c r="D13" s="92"/>
      <c r="E13" s="92"/>
      <c r="F13" s="95"/>
      <c r="G13" s="92"/>
      <c r="H13" s="95"/>
      <c r="I13" s="92"/>
      <c r="J13" s="95"/>
      <c r="K13" s="92"/>
      <c r="L13" s="95"/>
      <c r="Z13" s="52"/>
      <c r="AA13" s="90"/>
      <c r="AB13" s="90" t="s">
        <v>157</v>
      </c>
      <c r="AC13" s="90"/>
      <c r="AD13" s="90"/>
      <c r="AE13" s="90"/>
      <c r="AF13" s="90"/>
    </row>
    <row r="14" spans="1:34" ht="17.5" x14ac:dyDescent="0.35">
      <c r="D14" s="92"/>
      <c r="F14" s="95"/>
      <c r="G14" s="181" t="s">
        <v>163</v>
      </c>
      <c r="H14" s="182"/>
      <c r="I14" s="182"/>
      <c r="J14" s="182"/>
      <c r="K14" s="182"/>
      <c r="L14" s="182"/>
      <c r="M14" s="182"/>
      <c r="N14" s="183"/>
      <c r="Z14" s="52"/>
      <c r="AA14" s="90"/>
      <c r="AB14" s="90" t="s">
        <v>75</v>
      </c>
      <c r="AC14" s="90"/>
      <c r="AD14" s="90"/>
      <c r="AE14" s="90"/>
      <c r="AF14" s="90"/>
      <c r="AG14" s="90"/>
      <c r="AH14" s="90"/>
    </row>
    <row r="15" spans="1:34" ht="16" thickBot="1" x14ac:dyDescent="0.4">
      <c r="B15" s="92"/>
      <c r="D15" s="92"/>
      <c r="E15" s="92"/>
      <c r="F15" s="95"/>
      <c r="G15" s="184">
        <v>35</v>
      </c>
      <c r="H15" s="185"/>
      <c r="I15" s="185">
        <v>45</v>
      </c>
      <c r="J15" s="185"/>
      <c r="K15" s="185">
        <v>55</v>
      </c>
      <c r="L15" s="185"/>
      <c r="M15" s="185">
        <v>65</v>
      </c>
      <c r="N15" s="186"/>
      <c r="Z15" s="52"/>
      <c r="AA15" s="90"/>
      <c r="AB15" s="90" t="s">
        <v>76</v>
      </c>
      <c r="AC15" s="90"/>
      <c r="AD15" s="90"/>
      <c r="AE15" s="90"/>
      <c r="AF15" s="90"/>
      <c r="AG15" s="90"/>
      <c r="AH15" s="90"/>
    </row>
    <row r="16" spans="1:34" ht="40.5" customHeight="1" thickBot="1" x14ac:dyDescent="0.55000000000000004">
      <c r="B16" s="92"/>
      <c r="C16" s="187" t="s">
        <v>150</v>
      </c>
      <c r="D16" s="187"/>
      <c r="E16" s="187"/>
      <c r="F16" s="188"/>
      <c r="G16" s="9"/>
      <c r="H16" s="106"/>
      <c r="I16" s="9"/>
      <c r="J16" s="107"/>
      <c r="K16" s="9"/>
      <c r="L16" s="107"/>
      <c r="M16" s="9"/>
      <c r="N16" s="108"/>
      <c r="Z16" s="52"/>
      <c r="AA16" s="90"/>
      <c r="AB16" s="90" t="s">
        <v>78</v>
      </c>
      <c r="AC16" s="90"/>
      <c r="AD16" s="90"/>
      <c r="AE16" s="90"/>
      <c r="AF16" s="90"/>
      <c r="AG16" s="90"/>
      <c r="AH16" s="90"/>
    </row>
    <row r="17" spans="2:40" ht="19" thickBot="1" x14ac:dyDescent="0.5"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Z17" s="52"/>
      <c r="AA17" s="90"/>
      <c r="AB17" s="90" t="s">
        <v>79</v>
      </c>
      <c r="AC17" s="90"/>
      <c r="AD17" s="90"/>
      <c r="AE17" s="90"/>
      <c r="AF17" s="90"/>
      <c r="AG17" s="90"/>
      <c r="AH17" s="90"/>
      <c r="AI17" s="52"/>
      <c r="AJ17" s="52"/>
      <c r="AK17" s="52"/>
      <c r="AL17" s="52"/>
      <c r="AM17" s="52"/>
      <c r="AN17" s="52"/>
    </row>
    <row r="18" spans="2:40" ht="15" thickBot="1" x14ac:dyDescent="0.4">
      <c r="C18" s="38" t="s">
        <v>90</v>
      </c>
      <c r="D18" s="109" t="s">
        <v>84</v>
      </c>
      <c r="E18" s="179" t="s">
        <v>94</v>
      </c>
      <c r="F18" s="179"/>
      <c r="G18" s="179" t="s">
        <v>95</v>
      </c>
      <c r="H18" s="179"/>
      <c r="I18" s="179" t="s">
        <v>96</v>
      </c>
      <c r="J18" s="179"/>
      <c r="K18" s="179" t="s">
        <v>97</v>
      </c>
      <c r="L18" s="179"/>
      <c r="M18" s="179" t="s">
        <v>98</v>
      </c>
      <c r="N18" s="180"/>
      <c r="O18" s="177"/>
      <c r="P18" s="177"/>
      <c r="Z18" s="52"/>
      <c r="AA18" s="90"/>
      <c r="AB18" s="90"/>
      <c r="AC18" s="90"/>
      <c r="AD18" s="90"/>
      <c r="AE18" s="90"/>
      <c r="AF18" s="90"/>
      <c r="AG18" s="90"/>
      <c r="AH18" s="90"/>
      <c r="AI18" s="52"/>
      <c r="AJ18" s="52"/>
      <c r="AK18" s="52"/>
      <c r="AL18" s="52"/>
      <c r="AM18" s="52"/>
      <c r="AN18" s="52"/>
    </row>
    <row r="19" spans="2:40" ht="15" customHeight="1" x14ac:dyDescent="0.35">
      <c r="B19" s="192" t="s">
        <v>92</v>
      </c>
      <c r="C19" s="195" t="s">
        <v>125</v>
      </c>
      <c r="D19" s="110"/>
      <c r="E19" s="111" t="str">
        <f>IF($D$4="Ground Source","B0 / W",IF($D$4="Air Source","A-7 / W","W10 / W"))</f>
        <v>A-7 / W</v>
      </c>
      <c r="F19" s="112">
        <f>IF($D$5="Variable Outlet",VLOOKUP("Low",$AB$23:$AG$26,3,FALSE),VLOOKUP("Low",$AB$23:$AG$26,2,FALSE))</f>
        <v>34</v>
      </c>
      <c r="G19" s="111" t="str">
        <f>IF($D$4="Ground Source","B0 / W",IF($D$4="Air Source","A2 / W","W10 / W"))</f>
        <v>A2 / W</v>
      </c>
      <c r="H19" s="112">
        <f>IF($D$5="Variable Outlet",VLOOKUP("Low",$AB$23:$AG$26,4,FALSE),VLOOKUP("Low",$AB$23:$AG$26,2,FALSE))</f>
        <v>30</v>
      </c>
      <c r="I19" s="111" t="str">
        <f>IF($D$4="Ground Source","B0 / W",IF($D$4="Air Source","A7 / W","W10 / W"))</f>
        <v>A7 / W</v>
      </c>
      <c r="J19" s="112">
        <f>IF($D$5="Variable Outlet",VLOOKUP("Low",$AB$23:$AG$26,5,FALSE),VLOOKUP("Low",$AB$23:$AG$26,2,FALSE))</f>
        <v>27</v>
      </c>
      <c r="K19" s="111" t="str">
        <f>IF($D$4="Ground Source","B0 / W",IF($D$4="Air Source","A12 / W","W10 / W"))</f>
        <v>A12 / W</v>
      </c>
      <c r="L19" s="112">
        <f>IF($D$5="Variable Outlet",VLOOKUP("Low",$AB$23:$AG$26,6,FALSE),VLOOKUP("Low",$AB$23:$AG$26,2,FALSE))</f>
        <v>24</v>
      </c>
      <c r="M19" s="113" t="str">
        <f>IF($D$4="Ground Source","B0 / W",IF($D$4="Air Source","A-10 / W","W10 / W"))</f>
        <v>A-10 / W</v>
      </c>
      <c r="N19" s="112">
        <f>IF($D$5="Variable Outlet",VLOOKUP("Low",$AB$23:$AG$26,2,FALSE),VLOOKUP("Low",$AB$23:$AG$26,2,FALSE))</f>
        <v>35</v>
      </c>
      <c r="O19" s="114"/>
      <c r="Z19" s="52"/>
      <c r="AA19" s="90"/>
      <c r="AB19" s="90"/>
      <c r="AC19" s="90"/>
      <c r="AD19" s="90"/>
      <c r="AE19" s="90"/>
      <c r="AF19" s="90"/>
      <c r="AG19" s="90"/>
      <c r="AH19" s="90"/>
      <c r="AI19" s="52"/>
      <c r="AJ19" s="52"/>
      <c r="AK19" s="52"/>
      <c r="AL19" s="52"/>
      <c r="AM19" s="52"/>
      <c r="AN19" s="52"/>
    </row>
    <row r="20" spans="2:40" ht="15" customHeight="1" x14ac:dyDescent="0.35">
      <c r="B20" s="193"/>
      <c r="C20" s="196"/>
      <c r="D20" s="115" t="s">
        <v>89</v>
      </c>
      <c r="E20" s="22"/>
      <c r="F20" s="116"/>
      <c r="G20" s="22"/>
      <c r="H20" s="116"/>
      <c r="I20" s="22"/>
      <c r="J20" s="116"/>
      <c r="K20" s="22"/>
      <c r="L20" s="116"/>
      <c r="M20" s="23"/>
      <c r="N20" s="117"/>
      <c r="O20" s="118" t="s">
        <v>93</v>
      </c>
      <c r="P20" s="38"/>
      <c r="Z20" s="52"/>
      <c r="AA20" s="90"/>
      <c r="AB20" s="90"/>
      <c r="AC20" s="119" t="s">
        <v>60</v>
      </c>
      <c r="AD20" s="90"/>
      <c r="AE20" s="90"/>
      <c r="AF20" s="90"/>
      <c r="AG20" s="90"/>
      <c r="AH20" s="90"/>
      <c r="AI20" s="52"/>
      <c r="AJ20" s="52"/>
      <c r="AK20" s="52"/>
      <c r="AL20" s="52"/>
      <c r="AM20" s="52"/>
      <c r="AN20" s="52"/>
    </row>
    <row r="21" spans="2:40" ht="15" customHeight="1" x14ac:dyDescent="0.35">
      <c r="B21" s="193"/>
      <c r="C21" s="196"/>
      <c r="D21" s="120" t="s">
        <v>91</v>
      </c>
      <c r="E21" s="11"/>
      <c r="F21" s="121"/>
      <c r="G21" s="11"/>
      <c r="H21" s="121"/>
      <c r="I21" s="11"/>
      <c r="J21" s="121"/>
      <c r="K21" s="11"/>
      <c r="L21" s="121"/>
      <c r="M21" s="11"/>
      <c r="N21" s="121"/>
      <c r="O21" s="118" t="s">
        <v>93</v>
      </c>
      <c r="P21" s="38"/>
      <c r="Z21" s="52"/>
      <c r="AA21" s="90"/>
      <c r="AB21" s="90"/>
      <c r="AC21" s="90" t="s">
        <v>77</v>
      </c>
      <c r="AD21" s="122"/>
      <c r="AE21" s="122"/>
      <c r="AF21" s="122"/>
      <c r="AG21" s="122"/>
      <c r="AH21" s="90"/>
      <c r="AI21" s="52"/>
      <c r="AJ21" s="52"/>
      <c r="AK21" s="52"/>
      <c r="AL21" s="52"/>
      <c r="AM21" s="52"/>
      <c r="AN21" s="52"/>
    </row>
    <row r="22" spans="2:40" ht="15.75" customHeight="1" thickBot="1" x14ac:dyDescent="0.4">
      <c r="B22" s="193"/>
      <c r="C22" s="197"/>
      <c r="D22" s="123" t="s">
        <v>59</v>
      </c>
      <c r="E22" s="16"/>
      <c r="F22" s="124"/>
      <c r="G22" s="16"/>
      <c r="H22" s="124"/>
      <c r="I22" s="16"/>
      <c r="J22" s="124"/>
      <c r="K22" s="16"/>
      <c r="L22" s="124"/>
      <c r="M22" s="16"/>
      <c r="N22" s="124"/>
      <c r="O22" s="118" t="s">
        <v>99</v>
      </c>
      <c r="P22" s="38"/>
      <c r="Z22" s="52"/>
      <c r="AA22" s="90"/>
      <c r="AB22" s="90"/>
      <c r="AC22" s="125">
        <v>-10</v>
      </c>
      <c r="AD22" s="125">
        <v>-7</v>
      </c>
      <c r="AE22" s="125">
        <v>2</v>
      </c>
      <c r="AF22" s="125">
        <v>7</v>
      </c>
      <c r="AG22" s="125">
        <v>12</v>
      </c>
      <c r="AH22" s="90"/>
      <c r="AI22" s="52"/>
      <c r="AJ22" s="52"/>
      <c r="AK22" s="52"/>
      <c r="AL22" s="52"/>
      <c r="AM22" s="52"/>
      <c r="AN22" s="52"/>
    </row>
    <row r="23" spans="2:40" ht="17.25" customHeight="1" x14ac:dyDescent="0.35">
      <c r="B23" s="193"/>
      <c r="C23" s="189" t="s">
        <v>126</v>
      </c>
      <c r="D23" s="126"/>
      <c r="E23" s="111" t="str">
        <f>IF($D$4="Ground Source","B0 / W",IF($D$4="Air Source","A-7 / W","W10 / W"))</f>
        <v>A-7 / W</v>
      </c>
      <c r="F23" s="112">
        <f>IF($D$5="Variable Outlet",VLOOKUP("High",$AB$23:$AG$26,3,FALSE),VLOOKUP("High",$AB$23:$AG$26,2,FALSE))</f>
        <v>52</v>
      </c>
      <c r="G23" s="111" t="str">
        <f>IF($D$4="Ground Source","B0 / W",IF($D$4="Air Source","A2 / W","W10 / W"))</f>
        <v>A2 / W</v>
      </c>
      <c r="H23" s="112">
        <f>IF($D$5="Variable Outlet",VLOOKUP("High",$AB$23:$AG$26,4,FALSE),VLOOKUP("High",$AB$23:$AG$26,2,FALSE))</f>
        <v>42</v>
      </c>
      <c r="I23" s="111" t="str">
        <f>IF($D$4="Ground Source","B0 / W",IF($D$4="Air Source","A7 / W","W10 / W"))</f>
        <v>A7 / W</v>
      </c>
      <c r="J23" s="112">
        <f>IF($D$5="Variable Outlet",VLOOKUP("High",$AB$23:$AG$26,5,FALSE),VLOOKUP("High",$AB$23:$AG$26,2,FALSE))</f>
        <v>36</v>
      </c>
      <c r="K23" s="111" t="str">
        <f>IF($D$4="Ground Source","B0 / W",IF($D$4="Air Source","A12 / W","W10 / W"))</f>
        <v>A12 / W</v>
      </c>
      <c r="L23" s="112">
        <f>IF($D$5="Variable Outlet",VLOOKUP("High",$AB$23:$AG$26,6,FALSE),VLOOKUP("High",$AB$23:$AG$26,2,FALSE))</f>
        <v>30</v>
      </c>
      <c r="M23" s="113" t="str">
        <f>IF($D$4="Ground Source","B0 / W",IF($D$4="Air Source","A-10 / W","W10 / W"))</f>
        <v>A-10 / W</v>
      </c>
      <c r="N23" s="112">
        <f>IF($D$5="Variable Outlet",VLOOKUP("High",$AB$23:$AG$26,2,FALSE),VLOOKUP("High",$AB$23:$AG$26,2,FALSE))</f>
        <v>55</v>
      </c>
      <c r="O23" s="127"/>
      <c r="P23" s="38"/>
      <c r="AA23" s="90"/>
      <c r="AB23" s="90" t="s">
        <v>12</v>
      </c>
      <c r="AC23" s="125">
        <v>35</v>
      </c>
      <c r="AD23" s="125">
        <v>34</v>
      </c>
      <c r="AE23" s="125">
        <v>30</v>
      </c>
      <c r="AF23" s="125">
        <v>27</v>
      </c>
      <c r="AG23" s="125">
        <v>24</v>
      </c>
      <c r="AH23" s="90"/>
      <c r="AI23" s="52"/>
      <c r="AJ23" s="52"/>
      <c r="AK23" s="52"/>
      <c r="AL23" s="52"/>
      <c r="AM23" s="52"/>
      <c r="AN23" s="52"/>
    </row>
    <row r="24" spans="2:40" ht="15" customHeight="1" x14ac:dyDescent="0.35">
      <c r="B24" s="193"/>
      <c r="C24" s="190"/>
      <c r="D24" s="115" t="s">
        <v>89</v>
      </c>
      <c r="E24" s="22"/>
      <c r="F24" s="116"/>
      <c r="G24" s="22"/>
      <c r="H24" s="116"/>
      <c r="I24" s="22"/>
      <c r="J24" s="116"/>
      <c r="K24" s="22"/>
      <c r="L24" s="116"/>
      <c r="M24" s="23"/>
      <c r="N24" s="117"/>
      <c r="O24" s="127" t="str">
        <f>IF($D$8="Heat Pump","Performance data required","Not applicable")</f>
        <v>Performance data required</v>
      </c>
      <c r="P24" s="38"/>
      <c r="AB24" s="90" t="s">
        <v>13</v>
      </c>
      <c r="AC24" s="125">
        <v>45</v>
      </c>
      <c r="AD24" s="125">
        <v>43</v>
      </c>
      <c r="AE24" s="125">
        <v>37</v>
      </c>
      <c r="AF24" s="125">
        <v>33</v>
      </c>
      <c r="AG24" s="125">
        <v>28</v>
      </c>
      <c r="AH24" s="90"/>
      <c r="AI24" s="52"/>
      <c r="AJ24" s="52"/>
      <c r="AK24" s="52"/>
      <c r="AL24" s="52"/>
      <c r="AM24" s="52"/>
      <c r="AN24" s="52"/>
    </row>
    <row r="25" spans="2:40" ht="15" customHeight="1" x14ac:dyDescent="0.35">
      <c r="B25" s="193"/>
      <c r="C25" s="190"/>
      <c r="D25" s="120" t="s">
        <v>91</v>
      </c>
      <c r="E25" s="11"/>
      <c r="F25" s="121"/>
      <c r="G25" s="11"/>
      <c r="H25" s="121"/>
      <c r="I25" s="11"/>
      <c r="J25" s="121"/>
      <c r="K25" s="11"/>
      <c r="L25" s="121"/>
      <c r="M25" s="11"/>
      <c r="N25" s="121"/>
      <c r="O25" s="127" t="str">
        <f>IF($D$8="Heat Pump","Performance data required","Not applicable")</f>
        <v>Performance data required</v>
      </c>
      <c r="P25" s="38"/>
      <c r="AB25" s="90" t="s">
        <v>14</v>
      </c>
      <c r="AC25" s="125">
        <v>55</v>
      </c>
      <c r="AD25" s="125">
        <v>52</v>
      </c>
      <c r="AE25" s="125">
        <v>42</v>
      </c>
      <c r="AF25" s="125">
        <v>36</v>
      </c>
      <c r="AG25" s="125">
        <v>30</v>
      </c>
      <c r="AH25" s="90"/>
      <c r="AI25" s="52"/>
      <c r="AJ25" s="52"/>
      <c r="AK25" s="52"/>
      <c r="AL25" s="52"/>
      <c r="AM25" s="52"/>
      <c r="AN25" s="52"/>
    </row>
    <row r="26" spans="2:40" ht="15.75" customHeight="1" thickBot="1" x14ac:dyDescent="0.4">
      <c r="B26" s="193"/>
      <c r="C26" s="191"/>
      <c r="D26" s="123" t="s">
        <v>59</v>
      </c>
      <c r="E26" s="16"/>
      <c r="F26" s="124"/>
      <c r="G26" s="16"/>
      <c r="H26" s="124"/>
      <c r="I26" s="16"/>
      <c r="J26" s="124"/>
      <c r="K26" s="16"/>
      <c r="L26" s="124"/>
      <c r="M26" s="16"/>
      <c r="N26" s="124"/>
      <c r="O26" s="118" t="s">
        <v>99</v>
      </c>
      <c r="P26" s="38"/>
      <c r="AB26" s="90" t="s">
        <v>58</v>
      </c>
      <c r="AC26" s="125">
        <v>65</v>
      </c>
      <c r="AD26" s="125">
        <v>61</v>
      </c>
      <c r="AE26" s="125">
        <v>49</v>
      </c>
      <c r="AF26" s="125">
        <v>41</v>
      </c>
      <c r="AG26" s="125">
        <v>32</v>
      </c>
      <c r="AH26" s="90"/>
      <c r="AI26" s="52"/>
      <c r="AJ26" s="52"/>
      <c r="AK26" s="52"/>
      <c r="AL26" s="52"/>
      <c r="AM26" s="52"/>
      <c r="AN26" s="52"/>
    </row>
    <row r="27" spans="2:40" ht="15" customHeight="1" x14ac:dyDescent="0.35">
      <c r="B27" s="193"/>
      <c r="C27" s="189" t="s">
        <v>127</v>
      </c>
      <c r="D27" s="110"/>
      <c r="E27" s="111" t="str">
        <f>IF($D$4="Ground Source","B0 / W",IF($D$4="Air Source","A-7 / W","W10 / W"))</f>
        <v>A-7 / W</v>
      </c>
      <c r="F27" s="112">
        <f>IF($D$5="Variable Outlet",VLOOKUP("Very High",$AB$23:$AG$26,3,FALSE),VLOOKUP("Very High",$AB$23:$AG$26,2,FALSE))</f>
        <v>61</v>
      </c>
      <c r="G27" s="111" t="str">
        <f>IF($D$4="Ground Source","B0 / W",IF($D$4="Air Source","A2 / W","W10 / W"))</f>
        <v>A2 / W</v>
      </c>
      <c r="H27" s="112">
        <f>IF($D$5="Variable Outlet",VLOOKUP("Very High",$AB$23:$AG$26,4,FALSE),VLOOKUP("Very High",$AB$23:$AG$26,2,FALSE))</f>
        <v>49</v>
      </c>
      <c r="I27" s="111" t="str">
        <f>IF($D$4="Ground Source","B0 / W",IF($D$4="Air Source","A7 / W","W10 / W"))</f>
        <v>A7 / W</v>
      </c>
      <c r="J27" s="112">
        <f>IF($D$5="Variable Outlet",VLOOKUP("Very High",$AB$23:$AG$26,5,FALSE),VLOOKUP("Very High",$AB$23:$AG$26,2,FALSE))</f>
        <v>41</v>
      </c>
      <c r="K27" s="111" t="str">
        <f>IF($D$4="Ground Source","B0 / W",IF($D$4="Air Source","A12 / W","W10 / W"))</f>
        <v>A12 / W</v>
      </c>
      <c r="L27" s="112">
        <f>IF($D$5="Variable Outlet",VLOOKUP("Very High",$AB$23:$AG$26,6,FALSE),VLOOKUP("Very High",$AB$23:$AG$26,2,FALSE))</f>
        <v>32</v>
      </c>
      <c r="M27" s="113" t="str">
        <f>IF($D$4="Ground Source","B0 / W",IF($D$4="Air Source","A-10 / W","W10 / W"))</f>
        <v>A-10 / W</v>
      </c>
      <c r="N27" s="112">
        <f>IF($D$5="Variable Outlet",VLOOKUP("Very High",$AB$23:$AG$26,2,FALSE),VLOOKUP("Very High",$AB$23:$AG$26,2,FALSE))</f>
        <v>65</v>
      </c>
      <c r="O27" s="127"/>
      <c r="P27" s="38"/>
      <c r="AB27" s="90"/>
      <c r="AC27" s="90"/>
      <c r="AD27" s="90"/>
      <c r="AE27" s="90"/>
      <c r="AF27" s="90"/>
      <c r="AG27" s="90"/>
      <c r="AH27" s="90"/>
      <c r="AI27" s="52"/>
      <c r="AJ27" s="52"/>
      <c r="AK27" s="52"/>
      <c r="AL27" s="52"/>
      <c r="AM27" s="52"/>
      <c r="AN27" s="52"/>
    </row>
    <row r="28" spans="2:40" ht="15" customHeight="1" x14ac:dyDescent="0.35">
      <c r="B28" s="193"/>
      <c r="C28" s="190"/>
      <c r="D28" s="115" t="s">
        <v>89</v>
      </c>
      <c r="E28" s="24"/>
      <c r="F28" s="128"/>
      <c r="G28" s="24"/>
      <c r="H28" s="128"/>
      <c r="I28" s="24"/>
      <c r="J28" s="128"/>
      <c r="K28" s="24"/>
      <c r="L28" s="128"/>
      <c r="M28" s="24"/>
      <c r="N28" s="121"/>
      <c r="O28" s="127" t="str">
        <f>IF($D$9="Very High Temperature Heat Pump","Performance data required","Not applicable")</f>
        <v>Performance data required</v>
      </c>
      <c r="P28" s="38"/>
      <c r="AB28" s="90"/>
      <c r="AC28" s="90"/>
      <c r="AD28" s="90"/>
      <c r="AE28" s="90"/>
      <c r="AF28" s="90"/>
      <c r="AG28" s="90"/>
      <c r="AH28" s="90"/>
      <c r="AI28" s="52"/>
      <c r="AJ28" s="52"/>
      <c r="AK28" s="52"/>
      <c r="AL28" s="52"/>
      <c r="AM28" s="52"/>
      <c r="AN28" s="52"/>
    </row>
    <row r="29" spans="2:40" ht="15" customHeight="1" x14ac:dyDescent="0.35">
      <c r="B29" s="193"/>
      <c r="C29" s="190"/>
      <c r="D29" s="120" t="s">
        <v>91</v>
      </c>
      <c r="E29" s="11"/>
      <c r="F29" s="121"/>
      <c r="G29" s="11"/>
      <c r="H29" s="121"/>
      <c r="I29" s="11"/>
      <c r="J29" s="121"/>
      <c r="K29" s="11"/>
      <c r="L29" s="121"/>
      <c r="M29" s="11"/>
      <c r="N29" s="121"/>
      <c r="O29" s="127" t="str">
        <f>IF($D$9="Very High Temperature Heat Pump","Performance data required","Not applicable")</f>
        <v>Performance data required</v>
      </c>
      <c r="P29" s="38"/>
      <c r="AB29" s="90"/>
      <c r="AC29" s="90"/>
      <c r="AD29" s="90"/>
      <c r="AE29" s="90"/>
      <c r="AF29" s="90"/>
      <c r="AG29" s="90"/>
      <c r="AH29" s="90"/>
      <c r="AI29" s="52"/>
      <c r="AJ29" s="52"/>
      <c r="AK29" s="52"/>
      <c r="AL29" s="52"/>
      <c r="AM29" s="52"/>
      <c r="AN29" s="52"/>
    </row>
    <row r="30" spans="2:40" ht="15" thickBot="1" x14ac:dyDescent="0.4">
      <c r="B30" s="194"/>
      <c r="C30" s="191"/>
      <c r="D30" s="123" t="s">
        <v>59</v>
      </c>
      <c r="E30" s="15"/>
      <c r="F30" s="124"/>
      <c r="G30" s="15"/>
      <c r="H30" s="124"/>
      <c r="I30" s="15"/>
      <c r="J30" s="124"/>
      <c r="K30" s="15"/>
      <c r="L30" s="124"/>
      <c r="M30" s="20"/>
      <c r="N30" s="124"/>
      <c r="O30" s="118" t="s">
        <v>99</v>
      </c>
      <c r="P30" s="38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x14ac:dyDescent="0.35">
      <c r="C31" s="38" t="s">
        <v>108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2:40" ht="17.5" x14ac:dyDescent="0.35">
      <c r="C32" s="105" t="s">
        <v>109</v>
      </c>
      <c r="F32" s="38"/>
      <c r="H32" s="38"/>
      <c r="J32" s="38"/>
      <c r="L32" s="38"/>
      <c r="N32" s="38"/>
      <c r="P32" s="38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ht="15.5" x14ac:dyDescent="0.35">
      <c r="C33" s="105" t="s">
        <v>142</v>
      </c>
      <c r="F33" s="38"/>
      <c r="H33" s="38"/>
      <c r="J33" s="38"/>
      <c r="L33" s="38"/>
      <c r="N33" s="38"/>
      <c r="P33" s="38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2:40" ht="15" customHeight="1" x14ac:dyDescent="0.35">
      <c r="F34" s="38"/>
      <c r="H34" s="38"/>
      <c r="J34" s="38"/>
      <c r="L34" s="38"/>
      <c r="N34" s="38"/>
      <c r="P34" s="38"/>
    </row>
    <row r="35" spans="2:40" ht="16.5" x14ac:dyDescent="0.35">
      <c r="C35" s="129" t="s">
        <v>110</v>
      </c>
      <c r="D35" s="21">
        <v>-22</v>
      </c>
      <c r="E35" s="38" t="s">
        <v>20</v>
      </c>
      <c r="F35" s="127" t="s">
        <v>177</v>
      </c>
      <c r="H35" s="38"/>
      <c r="J35" s="38"/>
      <c r="L35" s="38"/>
      <c r="N35" s="38"/>
      <c r="P35" s="38"/>
      <c r="U35" s="127" t="str">
        <f>IF(AND(D4="Air Source",D35&gt;-7),"CHECK TOL","")</f>
        <v/>
      </c>
    </row>
    <row r="36" spans="2:40" ht="16.5" x14ac:dyDescent="0.45">
      <c r="C36" s="129" t="s">
        <v>113</v>
      </c>
      <c r="D36" s="10">
        <v>1.2999999999999999E-2</v>
      </c>
      <c r="E36" s="38" t="s">
        <v>21</v>
      </c>
      <c r="H36" s="38"/>
      <c r="J36" s="38"/>
      <c r="L36" s="38"/>
      <c r="N36" s="38"/>
      <c r="P36" s="38"/>
    </row>
    <row r="37" spans="2:40" ht="15" customHeight="1" x14ac:dyDescent="0.45">
      <c r="C37" s="129" t="s">
        <v>114</v>
      </c>
      <c r="D37" s="10">
        <v>0</v>
      </c>
      <c r="E37" s="38" t="s">
        <v>21</v>
      </c>
      <c r="F37" s="38"/>
      <c r="H37" s="38"/>
      <c r="J37" s="38"/>
      <c r="L37" s="38"/>
      <c r="N37" s="38"/>
      <c r="P37" s="38"/>
    </row>
    <row r="38" spans="2:40" ht="15" customHeight="1" x14ac:dyDescent="0.45">
      <c r="C38" s="129" t="s">
        <v>144</v>
      </c>
      <c r="D38" s="10">
        <v>0</v>
      </c>
      <c r="E38" s="38" t="s">
        <v>21</v>
      </c>
      <c r="F38" s="38"/>
      <c r="H38" s="38"/>
      <c r="J38" s="38"/>
      <c r="L38" s="38"/>
      <c r="N38" s="38"/>
      <c r="P38" s="38"/>
    </row>
    <row r="39" spans="2:40" ht="15" customHeight="1" x14ac:dyDescent="0.35">
      <c r="F39" s="38"/>
      <c r="H39" s="38"/>
      <c r="J39" s="38"/>
      <c r="L39" s="38"/>
      <c r="N39" s="38"/>
      <c r="P39" s="38"/>
    </row>
    <row r="40" spans="2:40" ht="21.5" thickBot="1" x14ac:dyDescent="0.5">
      <c r="C40" s="130" t="s">
        <v>123</v>
      </c>
      <c r="F40" s="38"/>
      <c r="H40" s="38"/>
      <c r="J40" s="38"/>
      <c r="L40" s="38"/>
      <c r="N40" s="38"/>
      <c r="P40" s="38"/>
    </row>
    <row r="41" spans="2:40" ht="15" customHeight="1" x14ac:dyDescent="0.35">
      <c r="B41" s="192" t="s">
        <v>92</v>
      </c>
      <c r="C41" s="189" t="s">
        <v>128</v>
      </c>
      <c r="D41" s="131"/>
      <c r="E41" s="111" t="str">
        <f>IF($D$4="Ground Source","B0 / W",IF($D$4="Air Source","A-7 / W","W10 / W"))</f>
        <v>A-7 / W</v>
      </c>
      <c r="F41" s="112">
        <f>IF($D$5="Variable Outlet",VLOOKUP("Medium",$AB$23:$AG$26,3,FALSE),VLOOKUP("Medium",$AB$23:$AG$26,2,FALSE))</f>
        <v>43</v>
      </c>
      <c r="G41" s="111" t="str">
        <f>IF($D$4="Ground Source","B0 / W",IF($D$4="Air Source","A2 / W","W10 / W"))</f>
        <v>A2 / W</v>
      </c>
      <c r="H41" s="112">
        <f>IF($D$5="Variable Outlet",VLOOKUP("Medium",$AB$23:$AG$26,4,FALSE),VLOOKUP("Medium",$AB$23:$AG$26,2,FALSE))</f>
        <v>37</v>
      </c>
      <c r="I41" s="113" t="str">
        <f>IF($D$4="Ground Source","B0 / W",IF($D$4="Air Source","A7 / W","W10 / W"))</f>
        <v>A7 / W</v>
      </c>
      <c r="J41" s="132">
        <f>IF($D$5="Variable Outlet",VLOOKUP("Medium",$AB$23:$AG$26,5,FALSE),VLOOKUP("Medium",$AB$23:$AG$26,2,FALSE))</f>
        <v>33</v>
      </c>
      <c r="K41" s="111" t="str">
        <f>IF($D$4="Ground Source","B0 / W",IF($D$4="Air Source","A12 / W","W10 / W"))</f>
        <v>A12 / W</v>
      </c>
      <c r="L41" s="112">
        <f>IF($D$5="Variable Outlet",VLOOKUP("Medium",$AB$23:$AG$26,6,FALSE),VLOOKUP("Medium",$AB$23:$AG$26,2,FALSE))</f>
        <v>28</v>
      </c>
      <c r="M41" s="113" t="str">
        <f>IF($D$4="Ground Source","B0 / W",IF($D$4="Air Source","A-10 / W","W10 / W"))</f>
        <v>A-10 / W</v>
      </c>
      <c r="N41" s="112">
        <f>IF($D$5="Variable Outlet",VLOOKUP("Medium",$AB$23:$AG$26,2,FALSE),VLOOKUP("Medium",$AB$23:$AG$26,2,FALSE))</f>
        <v>45</v>
      </c>
      <c r="O41" s="114"/>
      <c r="Q41" s="118"/>
    </row>
    <row r="42" spans="2:40" ht="15" customHeight="1" x14ac:dyDescent="0.35">
      <c r="B42" s="193"/>
      <c r="C42" s="190"/>
      <c r="D42" s="133" t="s">
        <v>89</v>
      </c>
      <c r="E42" s="17"/>
      <c r="F42" s="117"/>
      <c r="G42" s="17"/>
      <c r="H42" s="117"/>
      <c r="I42" s="18"/>
      <c r="J42" s="134"/>
      <c r="K42" s="17"/>
      <c r="L42" s="117"/>
      <c r="M42" s="18"/>
      <c r="N42" s="117"/>
      <c r="O42" s="172" t="s">
        <v>143</v>
      </c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35"/>
    </row>
    <row r="43" spans="2:40" ht="15" customHeight="1" x14ac:dyDescent="0.35">
      <c r="B43" s="193"/>
      <c r="C43" s="190"/>
      <c r="D43" s="136" t="s">
        <v>91</v>
      </c>
      <c r="E43" s="11"/>
      <c r="F43" s="121"/>
      <c r="G43" s="11"/>
      <c r="H43" s="121"/>
      <c r="I43" s="19"/>
      <c r="J43" s="137"/>
      <c r="K43" s="11"/>
      <c r="L43" s="121"/>
      <c r="M43" s="19"/>
      <c r="N43" s="121"/>
      <c r="O43" s="172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35"/>
    </row>
    <row r="44" spans="2:40" ht="15" customHeight="1" thickBot="1" x14ac:dyDescent="0.4">
      <c r="B44" s="194"/>
      <c r="C44" s="191"/>
      <c r="D44" s="138" t="s">
        <v>59</v>
      </c>
      <c r="E44" s="15"/>
      <c r="F44" s="139"/>
      <c r="G44" s="15"/>
      <c r="H44" s="139"/>
      <c r="I44" s="20"/>
      <c r="J44" s="140"/>
      <c r="K44" s="15"/>
      <c r="L44" s="139"/>
      <c r="M44" s="20"/>
      <c r="N44" s="139"/>
      <c r="O44" s="172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35"/>
    </row>
    <row r="45" spans="2:40" ht="15" customHeight="1" x14ac:dyDescent="0.35">
      <c r="B45" s="141"/>
      <c r="F45" s="38"/>
      <c r="H45" s="38"/>
      <c r="J45" s="38"/>
      <c r="L45" s="38"/>
      <c r="N45" s="38"/>
      <c r="P45" s="38"/>
    </row>
    <row r="46" spans="2:40" ht="15" customHeight="1" x14ac:dyDescent="0.35">
      <c r="B46" s="141"/>
      <c r="F46" s="38"/>
      <c r="H46" s="38"/>
      <c r="J46" s="38"/>
      <c r="L46" s="38"/>
      <c r="N46" s="38"/>
      <c r="P46" s="38"/>
    </row>
    <row r="47" spans="2:40" ht="15" customHeight="1" x14ac:dyDescent="0.45">
      <c r="B47" s="141"/>
      <c r="C47" s="142" t="s">
        <v>107</v>
      </c>
      <c r="F47" s="38"/>
      <c r="H47" s="38"/>
      <c r="J47" s="38"/>
      <c r="L47" s="38"/>
      <c r="N47" s="38"/>
      <c r="P47" s="38"/>
    </row>
    <row r="48" spans="2:40" ht="15" customHeight="1" x14ac:dyDescent="0.35">
      <c r="B48" s="38" t="s">
        <v>134</v>
      </c>
      <c r="C48" s="143" t="s">
        <v>69</v>
      </c>
      <c r="D48" s="144" t="s">
        <v>111</v>
      </c>
      <c r="E48" s="164" t="s">
        <v>112</v>
      </c>
      <c r="F48" s="165"/>
      <c r="G48" s="164" t="s">
        <v>151</v>
      </c>
      <c r="H48" s="165"/>
      <c r="J48" s="38"/>
      <c r="L48" s="38"/>
      <c r="N48" s="38"/>
      <c r="P48" s="38"/>
    </row>
    <row r="49" spans="2:17" ht="15" customHeight="1" x14ac:dyDescent="0.35">
      <c r="B49" s="145" t="s">
        <v>130</v>
      </c>
      <c r="C49" s="80" t="e">
        <f>'LOW SCOP'!Q17</f>
        <v>#DIV/0!</v>
      </c>
      <c r="D49" s="146" t="e">
        <f>'LOW SCOP'!Q11</f>
        <v>#DIV/0!</v>
      </c>
      <c r="E49" s="168" t="e">
        <f>'LOW SCOP'!Q19</f>
        <v>#DIV/0!</v>
      </c>
      <c r="F49" s="169"/>
      <c r="G49" s="166" t="str">
        <f>'LOW SCOP'!Q21</f>
        <v>N/A</v>
      </c>
      <c r="H49" s="167"/>
      <c r="J49" s="38"/>
      <c r="L49" s="38"/>
      <c r="N49" s="38"/>
      <c r="P49" s="38"/>
    </row>
    <row r="50" spans="2:17" ht="15" customHeight="1" x14ac:dyDescent="0.35">
      <c r="B50" s="145" t="s">
        <v>131</v>
      </c>
      <c r="C50" s="80" t="e">
        <f>IF($D$8="Low Temperature Heat Pump","Not applicable",'MEDIUM SCOP'!Q17)</f>
        <v>#DIV/0!</v>
      </c>
      <c r="D50" s="146" t="e">
        <f>IF($D$8="Low Temperature Heat Pump","Not applicable",'MEDIUM SCOP'!Q11)</f>
        <v>#DIV/0!</v>
      </c>
      <c r="E50" s="170" t="e">
        <f>IF($D$8="Low Temperature Heat Pump","N/A",'MEDIUM SCOP'!Q19)</f>
        <v>#DIV/0!</v>
      </c>
      <c r="F50" s="171"/>
      <c r="G50" s="166" t="str">
        <f>IF($O$24="Not applicable","N/A",'MEDIUM SCOP'!Q21)</f>
        <v>N/A</v>
      </c>
      <c r="H50" s="167"/>
    </row>
    <row r="51" spans="2:17" ht="15" customHeight="1" x14ac:dyDescent="0.35">
      <c r="B51" s="145" t="s">
        <v>132</v>
      </c>
      <c r="C51" s="80" t="e">
        <f>IF($O$24="Not applicable","Not applicable",'HIGH SCOP'!Q17)</f>
        <v>#DIV/0!</v>
      </c>
      <c r="D51" s="146" t="e">
        <f>IF($O$24="Not applicable","Not applicable",'HIGH SCOP'!Q11)</f>
        <v>#DIV/0!</v>
      </c>
      <c r="E51" s="168" t="e">
        <f>IF($O$24="Not applicable","N/A",'HIGH SCOP'!Q19)</f>
        <v>#DIV/0!</v>
      </c>
      <c r="F51" s="169"/>
      <c r="G51" s="166" t="str">
        <f>IF($O$24="Not applicable","N/A",'HIGH SCOP'!Q21)</f>
        <v>N/A</v>
      </c>
      <c r="H51" s="167"/>
    </row>
    <row r="52" spans="2:17" x14ac:dyDescent="0.35">
      <c r="B52" s="145" t="s">
        <v>133</v>
      </c>
      <c r="C52" s="80" t="e">
        <f>IF($O$28="Not applicable","Not applicable",'VERY HIGH SCOP'!Q17)</f>
        <v>#DIV/0!</v>
      </c>
      <c r="D52" s="146" t="e">
        <f>IF($O$29="Not applicable","Not applicable",'VERY HIGH SCOP'!Q11)</f>
        <v>#DIV/0!</v>
      </c>
      <c r="E52" s="168" t="e">
        <f>IF($O$28="Not applicable","N/A",'VERY HIGH SCOP'!Q19)</f>
        <v>#DIV/0!</v>
      </c>
      <c r="F52" s="169"/>
      <c r="G52" s="166" t="str">
        <f>IF($O$28="Not applicable","N/A",'VERY HIGH SCOP'!Q21)</f>
        <v>N/A</v>
      </c>
      <c r="H52" s="167"/>
    </row>
    <row r="53" spans="2:17" ht="23.5" x14ac:dyDescent="0.55000000000000004">
      <c r="C53" s="147" t="e">
        <f>IF(OR(C49&lt;100,C50&lt;100,C51&lt;100,C52&lt;100),"Cells highlighted red are not compliant with EcoDesign Lot 1 requirements","")</f>
        <v>#DIV/0!</v>
      </c>
      <c r="D53" s="52"/>
      <c r="E53" s="52"/>
    </row>
    <row r="54" spans="2:17" x14ac:dyDescent="0.35">
      <c r="E54" s="148"/>
      <c r="F54" s="149" t="s">
        <v>136</v>
      </c>
      <c r="G54" s="90"/>
    </row>
    <row r="55" spans="2:17" ht="15" thickBot="1" x14ac:dyDescent="0.4">
      <c r="E55" s="148"/>
      <c r="F55" s="148">
        <v>35</v>
      </c>
      <c r="G55" s="150" t="e">
        <f>C49*2.5/100</f>
        <v>#DIV/0!</v>
      </c>
      <c r="H55" s="151"/>
      <c r="I55" s="52"/>
      <c r="J55" s="151"/>
      <c r="K55" s="52"/>
      <c r="L55" s="151"/>
      <c r="M55" s="52"/>
      <c r="N55" s="151"/>
      <c r="O55" s="52"/>
      <c r="P55" s="151"/>
      <c r="Q55" s="52"/>
    </row>
    <row r="56" spans="2:17" ht="21.5" thickBot="1" x14ac:dyDescent="0.55000000000000004">
      <c r="C56" s="152" t="s">
        <v>140</v>
      </c>
      <c r="D56" s="12">
        <v>35</v>
      </c>
      <c r="E56" s="148"/>
      <c r="F56" s="148">
        <v>45</v>
      </c>
      <c r="G56" s="150" t="e">
        <f>C50*2.5/100</f>
        <v>#DIV/0!</v>
      </c>
      <c r="H56" s="151"/>
      <c r="I56" s="52"/>
      <c r="J56" s="151"/>
      <c r="K56" s="52"/>
      <c r="L56" s="151"/>
      <c r="M56" s="52"/>
      <c r="N56" s="151"/>
      <c r="O56" s="52"/>
      <c r="P56" s="151"/>
      <c r="Q56" s="52"/>
    </row>
    <row r="57" spans="2:17" ht="21.5" thickBot="1" x14ac:dyDescent="0.55000000000000004">
      <c r="C57" s="152" t="s">
        <v>141</v>
      </c>
      <c r="D57" s="153" t="e">
        <f>IF(AND(D8="Low Temperature Heat Pump",D56&gt;35),"HP Not Suitable",IF(AND(D8="Low Temperature Heat Pump",D56&lt;=35),G55,IF(AND(D56&gt;55,G60=""),"N/A",IF(AND(D56&gt;=35,D56&lt;=45),((G56-G55)/(F56-F55)*(D56-F56)+G56),IF(AND(D56&gt;45,D56&lt;=55),((G57-G56)/(F57-F56)*(D56-F57)+G57),((G60-G59)/(F60-F59)*(D56-F60)+G60))))))</f>
        <v>#DIV/0!</v>
      </c>
      <c r="E57" s="148"/>
      <c r="F57" s="148">
        <v>55</v>
      </c>
      <c r="G57" s="150" t="e">
        <f>C51*2.5/100</f>
        <v>#DIV/0!</v>
      </c>
      <c r="H57" s="151"/>
      <c r="I57" s="52"/>
      <c r="J57" s="151"/>
      <c r="K57" s="52"/>
      <c r="L57" s="151"/>
      <c r="M57" s="52"/>
      <c r="N57" s="151"/>
      <c r="O57" s="52"/>
      <c r="P57" s="151"/>
      <c r="Q57" s="52"/>
    </row>
    <row r="58" spans="2:17" ht="15" thickBot="1" x14ac:dyDescent="0.4">
      <c r="B58" s="52"/>
      <c r="C58" s="52"/>
      <c r="D58" s="52"/>
      <c r="E58" s="148"/>
      <c r="F58" s="148">
        <v>65</v>
      </c>
      <c r="G58" s="150" t="e">
        <f>IF(D9="Heat Pump","",C52*2.5/100)</f>
        <v>#DIV/0!</v>
      </c>
      <c r="H58" s="151"/>
      <c r="I58" s="52"/>
      <c r="J58" s="151"/>
      <c r="K58" s="52"/>
      <c r="L58" s="151"/>
      <c r="M58" s="52"/>
      <c r="N58" s="151"/>
      <c r="O58" s="52"/>
      <c r="P58" s="151"/>
      <c r="Q58" s="52"/>
    </row>
    <row r="59" spans="2:17" ht="45.5" thickBot="1" x14ac:dyDescent="0.55000000000000004">
      <c r="B59" s="52"/>
      <c r="C59" s="154" t="s">
        <v>137</v>
      </c>
      <c r="D59" s="155" t="s">
        <v>149</v>
      </c>
      <c r="E59" s="52"/>
      <c r="F59" s="52">
        <v>55</v>
      </c>
      <c r="G59" s="156" t="e">
        <f>IF(G58="","",G57)</f>
        <v>#DIV/0!</v>
      </c>
      <c r="H59" s="151"/>
      <c r="I59" s="52"/>
      <c r="J59" s="151"/>
      <c r="K59" s="52"/>
      <c r="L59" s="151"/>
      <c r="M59" s="52"/>
      <c r="N59" s="151"/>
      <c r="O59" s="52"/>
      <c r="P59" s="151"/>
      <c r="Q59" s="52"/>
    </row>
    <row r="60" spans="2:17" ht="15.5" x14ac:dyDescent="0.35">
      <c r="B60" s="52"/>
      <c r="C60" s="157">
        <v>35</v>
      </c>
      <c r="D60" s="158" t="e">
        <f>IF(D8="Low Temperature Heat Pump",G55,(($G$56-$G$55)/($F$56-$F$55)*(C60-$F$56)+$G$56))</f>
        <v>#DIV/0!</v>
      </c>
      <c r="E60" s="52"/>
      <c r="F60" s="52">
        <v>65</v>
      </c>
      <c r="G60" s="156" t="e">
        <f>G58</f>
        <v>#DIV/0!</v>
      </c>
      <c r="H60" s="151"/>
      <c r="I60" s="52"/>
      <c r="J60" s="151"/>
      <c r="K60" s="52"/>
      <c r="L60" s="151"/>
      <c r="M60" s="52"/>
      <c r="N60" s="151"/>
      <c r="O60" s="52"/>
      <c r="P60" s="151"/>
      <c r="Q60" s="52"/>
    </row>
    <row r="61" spans="2:17" ht="15.5" x14ac:dyDescent="0.35">
      <c r="B61" s="52"/>
      <c r="C61" s="159">
        <v>36</v>
      </c>
      <c r="D61" s="160" t="e">
        <f>IF(D8="Low Temperature Heat Pump","HP Not Suitable for this temperature",(($G$56-$G$55)/($F$56-$F$55)*(C61-$F$56)+$G$56))</f>
        <v>#DIV/0!</v>
      </c>
      <c r="E61" s="52"/>
      <c r="F61" s="151"/>
      <c r="G61" s="52"/>
      <c r="H61" s="151"/>
      <c r="I61" s="52"/>
      <c r="J61" s="151"/>
      <c r="K61" s="52"/>
      <c r="L61" s="151"/>
      <c r="M61" s="52"/>
      <c r="N61" s="151"/>
      <c r="O61" s="52"/>
      <c r="P61" s="151"/>
      <c r="Q61" s="52"/>
    </row>
    <row r="62" spans="2:17" ht="15.5" x14ac:dyDescent="0.35">
      <c r="B62" s="52"/>
      <c r="C62" s="159">
        <v>37</v>
      </c>
      <c r="D62" s="160" t="e">
        <f>IF(D8="Low Temperature Heat Pump","HP Not Suitable for this temperature",(($G$56-$G$55)/($F$56-$F$55)*(C62-$F$56)+$G$56))</f>
        <v>#DIV/0!</v>
      </c>
      <c r="E62" s="52"/>
      <c r="F62" s="151"/>
      <c r="G62" s="52"/>
      <c r="H62" s="151"/>
      <c r="I62" s="52"/>
      <c r="J62" s="151"/>
      <c r="K62" s="52"/>
      <c r="L62" s="151"/>
      <c r="M62" s="52"/>
      <c r="N62" s="151"/>
      <c r="O62" s="52"/>
      <c r="P62" s="151"/>
      <c r="Q62" s="52"/>
    </row>
    <row r="63" spans="2:17" ht="15.5" x14ac:dyDescent="0.35">
      <c r="B63" s="52"/>
      <c r="C63" s="159">
        <v>38</v>
      </c>
      <c r="D63" s="160" t="e">
        <f>IF(D8="Low Temperature Heat Pump","HP Not Suitable for this temperature",(($G$56-$G$55)/($F$56-$F$55)*(C63-$F$56)+$G$56))</f>
        <v>#DIV/0!</v>
      </c>
      <c r="E63" s="52"/>
      <c r="F63" s="151"/>
      <c r="G63" s="52"/>
      <c r="H63" s="151"/>
      <c r="I63" s="52"/>
      <c r="J63" s="151"/>
      <c r="K63" s="52"/>
      <c r="L63" s="151"/>
      <c r="M63" s="52"/>
      <c r="N63" s="151"/>
      <c r="O63" s="52"/>
      <c r="P63" s="151"/>
      <c r="Q63" s="52"/>
    </row>
    <row r="64" spans="2:17" ht="15.5" x14ac:dyDescent="0.35">
      <c r="B64" s="52"/>
      <c r="C64" s="159">
        <v>39</v>
      </c>
      <c r="D64" s="160" t="e">
        <f>IF(D8="Low Temperature Heat Pump","HP Not Suitable for this temperature",(($G$56-$G$55)/($F$56-$F$55)*(C64-$F$56)+$G$56))</f>
        <v>#DIV/0!</v>
      </c>
      <c r="E64" s="52"/>
      <c r="F64" s="151"/>
      <c r="G64" s="52"/>
      <c r="H64" s="151"/>
      <c r="I64" s="52"/>
      <c r="J64" s="151"/>
      <c r="K64" s="52"/>
      <c r="L64" s="151"/>
      <c r="M64" s="52"/>
      <c r="N64" s="151"/>
      <c r="O64" s="52"/>
      <c r="P64" s="151"/>
      <c r="Q64" s="52"/>
    </row>
    <row r="65" spans="2:17" ht="15.5" x14ac:dyDescent="0.35">
      <c r="B65" s="52"/>
      <c r="C65" s="159">
        <v>40</v>
      </c>
      <c r="D65" s="160" t="e">
        <f>IF(D8="Low Temperature Heat Pump","HP Not Suitable for this temperature",(($G$56-$G$55)/($F$56-$F$55)*(C65-$F$56)+$G$56))</f>
        <v>#DIV/0!</v>
      </c>
      <c r="E65" s="52"/>
      <c r="F65" s="151"/>
      <c r="G65" s="52"/>
      <c r="H65" s="151"/>
      <c r="I65" s="52"/>
      <c r="J65" s="151"/>
      <c r="K65" s="52"/>
      <c r="L65" s="151"/>
      <c r="M65" s="52"/>
      <c r="N65" s="151"/>
      <c r="O65" s="52"/>
      <c r="P65" s="151"/>
      <c r="Q65" s="52"/>
    </row>
    <row r="66" spans="2:17" ht="15.5" x14ac:dyDescent="0.35">
      <c r="B66" s="52"/>
      <c r="C66" s="159">
        <v>41</v>
      </c>
      <c r="D66" s="160" t="e">
        <f>IF(D8="Low Temperature Heat Pump","HP Not Suitable for this temperature",(($G$56-$G$55)/($F$56-$F$55)*(C66-$F$56)+$G$56))</f>
        <v>#DIV/0!</v>
      </c>
      <c r="E66" s="52"/>
      <c r="F66" s="151"/>
      <c r="G66" s="52"/>
      <c r="H66" s="151"/>
      <c r="I66" s="52"/>
      <c r="J66" s="151"/>
      <c r="K66" s="52"/>
      <c r="L66" s="151"/>
      <c r="M66" s="52"/>
      <c r="N66" s="151"/>
      <c r="O66" s="52"/>
      <c r="P66" s="151"/>
      <c r="Q66" s="52"/>
    </row>
    <row r="67" spans="2:17" ht="15.5" x14ac:dyDescent="0.35">
      <c r="B67" s="52"/>
      <c r="C67" s="159">
        <v>42</v>
      </c>
      <c r="D67" s="160" t="e">
        <f>IF(D8="Low Temperature Heat Pump","HP Not Suitable for this temperature",(($G$56-$G$55)/($F$56-$F$55)*(C67-$F$56)+$G$56))</f>
        <v>#DIV/0!</v>
      </c>
      <c r="E67" s="52"/>
      <c r="F67" s="151"/>
      <c r="G67" s="52"/>
      <c r="H67" s="151"/>
      <c r="I67" s="52"/>
      <c r="J67" s="151"/>
      <c r="K67" s="52"/>
      <c r="L67" s="151"/>
      <c r="M67" s="52"/>
      <c r="N67" s="151"/>
      <c r="O67" s="52"/>
      <c r="P67" s="151"/>
      <c r="Q67" s="52"/>
    </row>
    <row r="68" spans="2:17" ht="15.5" x14ac:dyDescent="0.35">
      <c r="B68" s="52"/>
      <c r="C68" s="159">
        <v>43</v>
      </c>
      <c r="D68" s="160" t="e">
        <f>IF(D8="Low Temperature Heat Pump","HP Not Suitable for this temperature",(($G$56-$G$55)/($F$56-$F$55)*(C68-$F$56)+$G$56))</f>
        <v>#DIV/0!</v>
      </c>
      <c r="E68" s="52"/>
      <c r="F68" s="151"/>
      <c r="G68" s="52"/>
      <c r="H68" s="151"/>
      <c r="I68" s="52"/>
      <c r="J68" s="151"/>
      <c r="K68" s="52"/>
      <c r="L68" s="151"/>
      <c r="M68" s="52"/>
      <c r="N68" s="151"/>
      <c r="O68" s="52"/>
      <c r="P68" s="151"/>
      <c r="Q68" s="52"/>
    </row>
    <row r="69" spans="2:17" ht="15.5" x14ac:dyDescent="0.35">
      <c r="B69" s="52"/>
      <c r="C69" s="159">
        <v>44</v>
      </c>
      <c r="D69" s="160" t="e">
        <f>IF(D8="Low Temperature Heat Pump","HP Not Suitable for this temperature",(($G$56-$G$55)/($F$56-$F$55)*(C69-$F$56)+$G$56))</f>
        <v>#DIV/0!</v>
      </c>
      <c r="E69" s="52"/>
      <c r="F69" s="151"/>
      <c r="G69" s="52"/>
      <c r="H69" s="151"/>
      <c r="I69" s="52"/>
      <c r="J69" s="151"/>
      <c r="K69" s="52"/>
      <c r="L69" s="151"/>
      <c r="M69" s="52"/>
      <c r="N69" s="151"/>
      <c r="O69" s="52"/>
      <c r="P69" s="151"/>
      <c r="Q69" s="52"/>
    </row>
    <row r="70" spans="2:17" ht="15.5" x14ac:dyDescent="0.35">
      <c r="B70" s="52"/>
      <c r="C70" s="159">
        <v>45</v>
      </c>
      <c r="D70" s="160" t="e">
        <f>IF(D8="Low Temperature Heat Pump","HP Not Suitable for this temperature",(($G$56-$G$55)/($F$56-$F$55)*(C70-$F$56)+$G$56))</f>
        <v>#DIV/0!</v>
      </c>
      <c r="E70" s="52"/>
      <c r="F70" s="151"/>
      <c r="G70" s="52"/>
      <c r="H70" s="151"/>
      <c r="I70" s="52"/>
      <c r="J70" s="151"/>
      <c r="K70" s="52"/>
      <c r="L70" s="151"/>
      <c r="M70" s="52"/>
      <c r="N70" s="151"/>
      <c r="O70" s="52"/>
      <c r="P70" s="151"/>
      <c r="Q70" s="52"/>
    </row>
    <row r="71" spans="2:17" ht="15.5" x14ac:dyDescent="0.35">
      <c r="B71" s="52"/>
      <c r="C71" s="159">
        <v>46</v>
      </c>
      <c r="D71" s="160" t="e">
        <f>IF(D8="Low Temperature Heat Pump","HP Not Suitable for this temperature",IF(AND(C71&gt;45,C71&lt;=55),(($G$57-$G$56)/($F$57-$F$56)*(C71-$F$57)+$G$57),(($G$60-$G$59)/($F$60-$F$59)*(C71-$F$60)+$G$60)))</f>
        <v>#DIV/0!</v>
      </c>
      <c r="E71" s="52"/>
      <c r="F71" s="151"/>
      <c r="G71" s="52"/>
      <c r="H71" s="151"/>
      <c r="I71" s="52"/>
      <c r="J71" s="151"/>
      <c r="K71" s="52"/>
      <c r="L71" s="151"/>
      <c r="M71" s="52"/>
      <c r="N71" s="151"/>
      <c r="O71" s="52"/>
      <c r="P71" s="151"/>
      <c r="Q71" s="52"/>
    </row>
    <row r="72" spans="2:17" ht="15.5" x14ac:dyDescent="0.35">
      <c r="B72" s="52"/>
      <c r="C72" s="159">
        <v>47</v>
      </c>
      <c r="D72" s="160" t="e">
        <f>IF(D8="Low Temperature Heat Pump","HP Not Suitable for this temperature",IF(AND(C72&gt;45,C72&lt;=55),(($G$57-$G$56)/($F$57-$F$56)*(C72-$F$57)+$G$57),(($G$60-$G$59)/($F$60-$F$59)*(C72-$F$60)+$G$60)))</f>
        <v>#DIV/0!</v>
      </c>
    </row>
    <row r="73" spans="2:17" ht="15.5" x14ac:dyDescent="0.35">
      <c r="B73" s="52"/>
      <c r="C73" s="159">
        <v>48</v>
      </c>
      <c r="D73" s="160" t="e">
        <f>IF(D8="Low Temperature Heat Pump","HP Not Suitable for this temperature",IF(AND(C73&gt;45,C73&lt;=55),(($G$57-$G$56)/($F$57-$F$56)*(C73-$F$57)+$G$57),(($G$60-$G$59)/($F$60-$F$59)*(C73-$F$60)+$G$60)))</f>
        <v>#DIV/0!</v>
      </c>
    </row>
    <row r="74" spans="2:17" ht="15.5" x14ac:dyDescent="0.35">
      <c r="B74" s="52"/>
      <c r="C74" s="159">
        <v>49</v>
      </c>
      <c r="D74" s="160" t="e">
        <f>IF(D8="Low Temperature Heat Pump","HP Not Suitable for this temperature",IF(AND(C74&gt;45,C74&lt;=55),(($G$57-$G$56)/($F$57-$F$56)*(C74-$F$57)+$G$57),(($G$60-$G$59)/($F$60-$F$59)*(C74-$F$60)+$G$60)))</f>
        <v>#DIV/0!</v>
      </c>
    </row>
    <row r="75" spans="2:17" ht="15.5" x14ac:dyDescent="0.35">
      <c r="B75" s="52"/>
      <c r="C75" s="159">
        <v>50</v>
      </c>
      <c r="D75" s="160" t="e">
        <f>IF(D8="Low Temperature Heat Pump","HP Not Suitable for this temperature",IF(AND(C75&gt;45,C75&lt;=55),(($G$57-$G$56)/($F$57-$F$56)*(C75-$F$57)+$G$57),(($G$60-$G$59)/($F$60-$F$59)*(C75-$F$60)+$G$60)))</f>
        <v>#DIV/0!</v>
      </c>
    </row>
    <row r="76" spans="2:17" ht="15.5" x14ac:dyDescent="0.35">
      <c r="B76" s="52"/>
      <c r="C76" s="159">
        <v>51</v>
      </c>
      <c r="D76" s="160" t="e">
        <f>IF(D8="Low Temperature Heat Pump","HP Not Suitable for this temperature",IF(AND(C76&gt;45,C76&lt;=55),(($G$57-$G$56)/($F$57-$F$56)*(C76-$F$57)+$G$57),(($G$60-$G$59)/($F$60-$F$59)*(C76-$F$60)+$G$60)))</f>
        <v>#DIV/0!</v>
      </c>
    </row>
    <row r="77" spans="2:17" ht="15.5" x14ac:dyDescent="0.35">
      <c r="B77" s="52"/>
      <c r="C77" s="159">
        <v>52</v>
      </c>
      <c r="D77" s="160" t="e">
        <f>IF(D8="Low Temperature Heat Pump","HP Not Suitable for this temperature",IF(AND(C77&gt;45,C77&lt;=55),(($G$57-$G$56)/($F$57-$F$56)*(C77-$F$57)+$G$57),(($G$60-$G$59)/($F$60-$F$59)*(C77-$F$60)+$G$60)))</f>
        <v>#DIV/0!</v>
      </c>
    </row>
    <row r="78" spans="2:17" ht="15.5" x14ac:dyDescent="0.35">
      <c r="B78" s="52"/>
      <c r="C78" s="159">
        <v>53</v>
      </c>
      <c r="D78" s="160" t="e">
        <f>IF(D8="Low Temperature Heat Pump","HP Not Suitable for this temperature",IF(AND(C78&gt;45,C78&lt;=55),(($G$57-$G$56)/($F$57-$F$56)*(C78-$F$57)+$G$57),(($G$60-$G$59)/($F$60-$F$59)*(C78-$F$60)+$G$60)))</f>
        <v>#DIV/0!</v>
      </c>
    </row>
    <row r="79" spans="2:17" ht="15.5" x14ac:dyDescent="0.35">
      <c r="B79" s="52"/>
      <c r="C79" s="159">
        <v>54</v>
      </c>
      <c r="D79" s="160" t="e">
        <f>IF(D8="Low Temperature Heat Pump","HP Not Suitable for this temperature",IF(AND(C79&gt;45,C79&lt;=55),(($G$57-$G$56)/($F$57-$F$56)*(C79-$F$57)+$G$57),(($G$60-$G$59)/($F$60-$F$59)*(C79-$F$60)+$G$60)))</f>
        <v>#DIV/0!</v>
      </c>
    </row>
    <row r="80" spans="2:17" ht="15.5" x14ac:dyDescent="0.35">
      <c r="B80" s="52"/>
      <c r="C80" s="159">
        <v>55</v>
      </c>
      <c r="D80" s="160" t="e">
        <f>IF(D8="Low Temperature Heat Pump","HP Not Suitable for this temperature",IF(AND(C80&gt;45,C80&lt;=55),(($G$57-$G$56)/($F$57-$F$56)*(C80-$F$57)+$G$57),(($G$60-$G$59)/($F$60-$F$59)*(C80-$F$60)+$G$60)))</f>
        <v>#DIV/0!</v>
      </c>
    </row>
    <row r="81" spans="1:4" ht="15.5" x14ac:dyDescent="0.35">
      <c r="B81" s="52"/>
      <c r="C81" s="159">
        <v>56</v>
      </c>
      <c r="D81" s="160" t="e">
        <f>IF(AND(C81&gt;45,C81&lt;=55),(($G$57-$G$56)/($F$57-$F$56)*(C81-$F$57)+$G$57),IF($D$7="No","HP Not suitable for this temperature",(($G$60-$G$59)/($F$60-$F$59)*(C81-$F$60)+$G$60)))</f>
        <v>#DIV/0!</v>
      </c>
    </row>
    <row r="82" spans="1:4" ht="15.5" x14ac:dyDescent="0.35">
      <c r="B82" s="52"/>
      <c r="C82" s="159">
        <v>57</v>
      </c>
      <c r="D82" s="160" t="e">
        <f t="shared" ref="D82:D90" si="0">IF(AND(C82&gt;45,C82&lt;=55),(($G$57-$G$56)/($F$57-$F$56)*(C82-$F$57)+$G$57),IF($D$7="No","HP Not suitable for this temperature",(($G$60-$G$59)/($F$60-$F$59)*(C82-$F$60)+$G$60)))</f>
        <v>#DIV/0!</v>
      </c>
    </row>
    <row r="83" spans="1:4" ht="15.5" x14ac:dyDescent="0.35">
      <c r="B83" s="52"/>
      <c r="C83" s="159">
        <v>58</v>
      </c>
      <c r="D83" s="160" t="e">
        <f t="shared" si="0"/>
        <v>#DIV/0!</v>
      </c>
    </row>
    <row r="84" spans="1:4" ht="15.5" x14ac:dyDescent="0.35">
      <c r="B84" s="52"/>
      <c r="C84" s="159">
        <v>59</v>
      </c>
      <c r="D84" s="160" t="e">
        <f t="shared" si="0"/>
        <v>#DIV/0!</v>
      </c>
    </row>
    <row r="85" spans="1:4" ht="15.5" x14ac:dyDescent="0.35">
      <c r="B85" s="52"/>
      <c r="C85" s="159">
        <v>60</v>
      </c>
      <c r="D85" s="160" t="e">
        <f t="shared" si="0"/>
        <v>#DIV/0!</v>
      </c>
    </row>
    <row r="86" spans="1:4" ht="15.5" x14ac:dyDescent="0.35">
      <c r="B86" s="52"/>
      <c r="C86" s="159">
        <v>61</v>
      </c>
      <c r="D86" s="160" t="e">
        <f t="shared" si="0"/>
        <v>#DIV/0!</v>
      </c>
    </row>
    <row r="87" spans="1:4" ht="15.5" x14ac:dyDescent="0.35">
      <c r="B87" s="52"/>
      <c r="C87" s="159">
        <v>62</v>
      </c>
      <c r="D87" s="160" t="e">
        <f t="shared" si="0"/>
        <v>#DIV/0!</v>
      </c>
    </row>
    <row r="88" spans="1:4" ht="15.5" x14ac:dyDescent="0.35">
      <c r="B88" s="52"/>
      <c r="C88" s="159">
        <v>63</v>
      </c>
      <c r="D88" s="160" t="e">
        <f t="shared" si="0"/>
        <v>#DIV/0!</v>
      </c>
    </row>
    <row r="89" spans="1:4" ht="15.5" x14ac:dyDescent="0.35">
      <c r="B89" s="52"/>
      <c r="C89" s="159">
        <v>64</v>
      </c>
      <c r="D89" s="160" t="e">
        <f t="shared" si="0"/>
        <v>#DIV/0!</v>
      </c>
    </row>
    <row r="90" spans="1:4" ht="16" thickBot="1" x14ac:dyDescent="0.4">
      <c r="A90" s="52"/>
      <c r="B90" s="52"/>
      <c r="C90" s="161">
        <v>65</v>
      </c>
      <c r="D90" s="162" t="e">
        <f t="shared" si="0"/>
        <v>#DIV/0!</v>
      </c>
    </row>
    <row r="91" spans="1:4" ht="23.5" x14ac:dyDescent="0.55000000000000004">
      <c r="A91" s="52"/>
      <c r="B91" s="52"/>
      <c r="C91" s="147" t="s">
        <v>164</v>
      </c>
      <c r="D91" s="52"/>
    </row>
    <row r="92" spans="1:4" x14ac:dyDescent="0.35">
      <c r="A92" s="52"/>
      <c r="B92" s="52"/>
    </row>
    <row r="93" spans="1:4" x14ac:dyDescent="0.35">
      <c r="A93" s="52"/>
      <c r="B93" s="52"/>
    </row>
    <row r="94" spans="1:4" x14ac:dyDescent="0.35">
      <c r="A94" s="52"/>
      <c r="B94" s="52"/>
    </row>
    <row r="95" spans="1:4" x14ac:dyDescent="0.35">
      <c r="A95" s="52"/>
      <c r="B95" s="52"/>
    </row>
    <row r="96" spans="1:4" x14ac:dyDescent="0.35">
      <c r="A96" s="52"/>
      <c r="B96" s="52"/>
    </row>
    <row r="97" spans="1:2" x14ac:dyDescent="0.35">
      <c r="A97" s="52"/>
      <c r="B97" s="52"/>
    </row>
  </sheetData>
  <dataConsolidate/>
  <mergeCells count="32">
    <mergeCell ref="C41:C44"/>
    <mergeCell ref="B41:B44"/>
    <mergeCell ref="C19:C22"/>
    <mergeCell ref="C27:C30"/>
    <mergeCell ref="B19:B30"/>
    <mergeCell ref="C23:C26"/>
    <mergeCell ref="O42:Z44"/>
    <mergeCell ref="B1:P1"/>
    <mergeCell ref="E8:P8"/>
    <mergeCell ref="O18:P18"/>
    <mergeCell ref="E17:P17"/>
    <mergeCell ref="E18:F18"/>
    <mergeCell ref="G18:H18"/>
    <mergeCell ref="I18:J18"/>
    <mergeCell ref="K18:L18"/>
    <mergeCell ref="M18:N18"/>
    <mergeCell ref="G14:N14"/>
    <mergeCell ref="G15:H15"/>
    <mergeCell ref="I15:J15"/>
    <mergeCell ref="K15:L15"/>
    <mergeCell ref="M15:N15"/>
    <mergeCell ref="C16:F16"/>
    <mergeCell ref="E49:F49"/>
    <mergeCell ref="E50:F50"/>
    <mergeCell ref="E51:F51"/>
    <mergeCell ref="E52:F52"/>
    <mergeCell ref="E48:F48"/>
    <mergeCell ref="G48:H48"/>
    <mergeCell ref="G49:H49"/>
    <mergeCell ref="G50:H50"/>
    <mergeCell ref="G51:H51"/>
    <mergeCell ref="G52:H52"/>
  </mergeCells>
  <conditionalFormatting sqref="C49:C52">
    <cfRule type="cellIs" dxfId="4" priority="7" operator="lessThan">
      <formula>100</formula>
    </cfRule>
  </conditionalFormatting>
  <conditionalFormatting sqref="D8">
    <cfRule type="cellIs" dxfId="3" priority="15" operator="equal">
      <formula>"""Low Temperature Heat Pump"""</formula>
    </cfRule>
  </conditionalFormatting>
  <conditionalFormatting sqref="D9">
    <cfRule type="cellIs" dxfId="2" priority="14" operator="equal">
      <formula>"""Low Temperature Heat Pump"""</formula>
    </cfRule>
  </conditionalFormatting>
  <conditionalFormatting sqref="D60:D89">
    <cfRule type="cellIs" dxfId="1" priority="5" operator="lessThan">
      <formula>2.5</formula>
    </cfRule>
  </conditionalFormatting>
  <conditionalFormatting sqref="G49:H52">
    <cfRule type="cellIs" dxfId="0" priority="1" operator="greaterThan">
      <formula>2</formula>
    </cfRule>
  </conditionalFormatting>
  <dataValidations count="4">
    <dataValidation type="list" allowBlank="1" showInputMessage="1" showErrorMessage="1" sqref="D5" xr:uid="{00000000-0002-0000-0200-000000000000}">
      <formula1>$AB$14:$AB$15</formula1>
    </dataValidation>
    <dataValidation type="list" allowBlank="1" showInputMessage="1" showErrorMessage="1" sqref="D6:D7" xr:uid="{00000000-0002-0000-0200-000001000000}">
      <formula1>$AB$16:$AB$17</formula1>
    </dataValidation>
    <dataValidation type="list" allowBlank="1" showInputMessage="1" showErrorMessage="1" sqref="D56" xr:uid="{00000000-0002-0000-0200-000002000000}">
      <formula1>$C$60:$C$90</formula1>
    </dataValidation>
    <dataValidation type="list" allowBlank="1" showInputMessage="1" showErrorMessage="1" sqref="D4" xr:uid="{00000000-0002-0000-0200-000003000000}">
      <formula1>$AB$11:$AB$13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-0.249977111117893"/>
    <pageSetUpPr fitToPage="1"/>
  </sheetPr>
  <dimension ref="A3:X60"/>
  <sheetViews>
    <sheetView zoomScale="80" zoomScaleNormal="80" workbookViewId="0">
      <selection activeCell="J7" sqref="J7"/>
    </sheetView>
  </sheetViews>
  <sheetFormatPr defaultColWidth="9.1796875" defaultRowHeight="14.5" x14ac:dyDescent="0.35"/>
  <cols>
    <col min="1" max="2" width="3.81640625" style="38" customWidth="1"/>
    <col min="3" max="3" width="30.453125" style="38" customWidth="1"/>
    <col min="4" max="4" width="16.81640625" style="38" customWidth="1"/>
    <col min="5" max="5" width="16.54296875" style="38" customWidth="1"/>
    <col min="6" max="6" width="18.7265625" style="38" bestFit="1" customWidth="1"/>
    <col min="7" max="7" width="11.7265625" style="38" customWidth="1"/>
    <col min="8" max="8" width="14.453125" style="38" customWidth="1"/>
    <col min="9" max="9" width="23.453125" style="38" customWidth="1"/>
    <col min="10" max="10" width="19.453125" style="38" bestFit="1" customWidth="1"/>
    <col min="11" max="11" width="25.81640625" style="38" bestFit="1" customWidth="1"/>
    <col min="12" max="12" width="18.453125" style="38" customWidth="1"/>
    <col min="13" max="13" width="17" style="38" bestFit="1" customWidth="1"/>
    <col min="14" max="14" width="39.453125" style="38" customWidth="1"/>
    <col min="15" max="15" width="6.81640625" style="38" customWidth="1"/>
    <col min="16" max="16" width="58.26953125" style="38" bestFit="1" customWidth="1"/>
    <col min="17" max="17" width="26" style="38" bestFit="1" customWidth="1"/>
    <col min="18" max="18" width="6.54296875" style="38" bestFit="1" customWidth="1"/>
    <col min="19" max="19" width="4.1796875" style="38" bestFit="1" customWidth="1"/>
    <col min="20" max="20" width="9.81640625" style="38" customWidth="1"/>
    <col min="21" max="21" width="24.1796875" style="39" customWidth="1"/>
    <col min="22" max="22" width="25.54296875" style="39" bestFit="1" customWidth="1"/>
    <col min="23" max="24" width="24.1796875" style="39" customWidth="1"/>
    <col min="25" max="25" width="8.26953125" style="38" customWidth="1"/>
    <col min="26" max="16384" width="9.1796875" style="38"/>
  </cols>
  <sheetData>
    <row r="3" spans="1:24" ht="18.5" x14ac:dyDescent="0.45">
      <c r="D3" s="40"/>
    </row>
    <row r="4" spans="1:24" ht="21" x14ac:dyDescent="0.5">
      <c r="C4" s="85" t="s">
        <v>104</v>
      </c>
    </row>
    <row r="5" spans="1:24" ht="16.5" x14ac:dyDescent="0.45">
      <c r="A5" s="42"/>
      <c r="C5" s="43" t="s">
        <v>24</v>
      </c>
      <c r="D5" s="44" t="s">
        <v>9</v>
      </c>
      <c r="J5" s="38" t="s">
        <v>146</v>
      </c>
      <c r="K5" s="39"/>
      <c r="L5" s="39"/>
      <c r="M5" s="39"/>
      <c r="P5" s="38" t="s">
        <v>63</v>
      </c>
      <c r="Q5" s="45">
        <f>'ErP Inputs'!$D$36</f>
        <v>1.2999999999999999E-2</v>
      </c>
      <c r="R5" s="38" t="s">
        <v>21</v>
      </c>
      <c r="U5" s="38"/>
      <c r="V5" s="38"/>
      <c r="W5" s="38"/>
      <c r="X5" s="38"/>
    </row>
    <row r="6" spans="1:24" ht="17.5" x14ac:dyDescent="0.45">
      <c r="A6" s="42"/>
      <c r="C6" s="43" t="s">
        <v>19</v>
      </c>
      <c r="D6" s="44">
        <v>-10</v>
      </c>
      <c r="E6" s="38" t="s">
        <v>20</v>
      </c>
      <c r="J6" s="46" t="s">
        <v>68</v>
      </c>
      <c r="K6" s="46" t="s">
        <v>65</v>
      </c>
      <c r="L6" s="46" t="s">
        <v>66</v>
      </c>
      <c r="M6" s="46" t="s">
        <v>67</v>
      </c>
      <c r="N6" s="46" t="s">
        <v>145</v>
      </c>
      <c r="P6" s="38" t="s">
        <v>64</v>
      </c>
      <c r="Q6" s="45">
        <f>'ErP Inputs'!$D$37</f>
        <v>0</v>
      </c>
      <c r="R6" s="38" t="s">
        <v>21</v>
      </c>
      <c r="U6" s="38"/>
      <c r="V6" s="38"/>
      <c r="W6" s="38"/>
      <c r="X6" s="38"/>
    </row>
    <row r="7" spans="1:24" ht="16.5" x14ac:dyDescent="0.45">
      <c r="A7" s="42"/>
      <c r="C7" s="43" t="s">
        <v>25</v>
      </c>
      <c r="D7" s="47">
        <f>'ErP Inputs'!G16</f>
        <v>0</v>
      </c>
      <c r="E7" s="38" t="s">
        <v>21</v>
      </c>
      <c r="I7" s="48" t="s">
        <v>62</v>
      </c>
      <c r="J7" s="49">
        <v>2066</v>
      </c>
      <c r="K7" s="44">
        <v>178</v>
      </c>
      <c r="L7" s="44">
        <v>0</v>
      </c>
      <c r="M7" s="44">
        <v>3672</v>
      </c>
      <c r="N7" s="44">
        <v>3850</v>
      </c>
      <c r="P7" s="38" t="s">
        <v>147</v>
      </c>
      <c r="Q7" s="45">
        <f>'ErP Inputs'!$D$38</f>
        <v>0</v>
      </c>
      <c r="R7" s="38" t="s">
        <v>21</v>
      </c>
      <c r="U7" s="38"/>
      <c r="V7" s="38"/>
      <c r="W7" s="38"/>
      <c r="X7" s="38"/>
    </row>
    <row r="8" spans="1:24" ht="20.5" x14ac:dyDescent="0.55000000000000004">
      <c r="A8" s="42"/>
      <c r="D8" s="39"/>
      <c r="J8" s="39"/>
      <c r="K8" s="39"/>
      <c r="L8" s="39"/>
      <c r="M8" s="39"/>
      <c r="P8" s="50" t="s">
        <v>105</v>
      </c>
      <c r="Q8" s="51">
        <f>D7*J7</f>
        <v>0</v>
      </c>
      <c r="U8" s="38"/>
      <c r="V8" s="38"/>
      <c r="W8" s="38"/>
      <c r="X8" s="38"/>
    </row>
    <row r="9" spans="1:24" ht="20.5" x14ac:dyDescent="0.55000000000000004">
      <c r="A9" s="52"/>
      <c r="B9" s="52"/>
      <c r="C9" s="53"/>
      <c r="D9" s="54"/>
      <c r="J9" s="39"/>
      <c r="K9" s="39"/>
      <c r="L9" s="39"/>
      <c r="M9" s="39"/>
      <c r="P9" s="55" t="s">
        <v>106</v>
      </c>
      <c r="Q9" s="51" t="e">
        <f>Q8/N27+(K7*Q5)+(M7*Q6)+(N7*Q7)</f>
        <v>#DIV/0!</v>
      </c>
      <c r="U9" s="38"/>
      <c r="V9" s="38"/>
      <c r="W9" s="38"/>
      <c r="X9" s="38"/>
    </row>
    <row r="10" spans="1:24" ht="15" thickBot="1" x14ac:dyDescent="0.4">
      <c r="A10" s="52"/>
      <c r="B10" s="52"/>
      <c r="D10" s="39"/>
    </row>
    <row r="11" spans="1:24" ht="21.5" thickBot="1" x14ac:dyDescent="0.55000000000000004">
      <c r="A11" s="52"/>
      <c r="B11" s="52"/>
      <c r="C11" s="56" t="str">
        <f>'ErP Inputs'!D4</f>
        <v>Air Source</v>
      </c>
      <c r="D11" s="39"/>
      <c r="P11" s="57" t="s">
        <v>61</v>
      </c>
      <c r="Q11" s="58" t="e">
        <f>Q8/Q9</f>
        <v>#DIV/0!</v>
      </c>
    </row>
    <row r="12" spans="1:24" ht="21" x14ac:dyDescent="0.5">
      <c r="A12" s="52"/>
      <c r="B12" s="52"/>
      <c r="C12" s="56" t="str">
        <f>'ErP Inputs'!D5</f>
        <v>Variable Outlet</v>
      </c>
      <c r="P12" s="38" t="s">
        <v>70</v>
      </c>
      <c r="Q12" s="39">
        <v>2.5</v>
      </c>
    </row>
    <row r="13" spans="1:24" x14ac:dyDescent="0.35">
      <c r="A13" s="52"/>
      <c r="B13" s="52"/>
      <c r="C13" s="59"/>
      <c r="D13" s="60"/>
      <c r="G13" s="61"/>
      <c r="I13" s="39"/>
      <c r="P13" s="38" t="s">
        <v>72</v>
      </c>
      <c r="Q13" s="39">
        <v>3</v>
      </c>
      <c r="R13" s="38" t="s">
        <v>28</v>
      </c>
    </row>
    <row r="14" spans="1:24" x14ac:dyDescent="0.35">
      <c r="A14" s="52"/>
      <c r="B14" s="52"/>
      <c r="C14" s="62" t="s">
        <v>23</v>
      </c>
      <c r="D14" s="63"/>
      <c r="E14" s="63"/>
      <c r="F14" s="64" t="str">
        <f>IF(D5="Average","(Tj-16) / (-10-16) %",IF(D5="Warmer","(Tj-16) / (+2-16) %","(Tj-16) / (-22-16) %"))</f>
        <v>(Tj-16) / (-10-16) %</v>
      </c>
      <c r="G14" s="65"/>
      <c r="I14" s="39"/>
      <c r="P14" s="38" t="s">
        <v>118</v>
      </c>
      <c r="Q14" s="39">
        <f>IF(C11="Ground Source",5,0)</f>
        <v>0</v>
      </c>
      <c r="R14" s="38" t="s">
        <v>28</v>
      </c>
    </row>
    <row r="15" spans="1:24" x14ac:dyDescent="0.35">
      <c r="I15" s="66"/>
      <c r="J15" s="66"/>
      <c r="P15" s="38" t="s">
        <v>189</v>
      </c>
      <c r="Q15" s="39">
        <f>Q13+Q14</f>
        <v>3</v>
      </c>
      <c r="R15" s="38" t="s">
        <v>28</v>
      </c>
    </row>
    <row r="16" spans="1:24" ht="15" thickBot="1" x14ac:dyDescent="0.4">
      <c r="A16" s="52"/>
      <c r="B16" s="52"/>
    </row>
    <row r="17" spans="1:21" ht="41.25" customHeight="1" thickBot="1" x14ac:dyDescent="0.4">
      <c r="A17" s="52"/>
      <c r="B17" s="52"/>
      <c r="C17" s="46" t="s">
        <v>27</v>
      </c>
      <c r="D17" s="67" t="s">
        <v>167</v>
      </c>
      <c r="E17" s="67" t="s">
        <v>168</v>
      </c>
      <c r="F17" s="67" t="s">
        <v>26</v>
      </c>
      <c r="G17" s="67" t="s">
        <v>23</v>
      </c>
      <c r="H17" s="67" t="s">
        <v>29</v>
      </c>
      <c r="I17" s="67" t="s">
        <v>30</v>
      </c>
      <c r="J17" s="67" t="s">
        <v>31</v>
      </c>
      <c r="K17" s="67" t="s">
        <v>102</v>
      </c>
      <c r="L17" s="67" t="s">
        <v>103</v>
      </c>
      <c r="M17" s="67" t="s">
        <v>39</v>
      </c>
      <c r="N17" s="67" t="s">
        <v>33</v>
      </c>
      <c r="P17" s="57" t="s">
        <v>69</v>
      </c>
      <c r="Q17" s="78" t="e">
        <f>(100/Q12)*Q11-Q15</f>
        <v>#DIV/0!</v>
      </c>
    </row>
    <row r="18" spans="1:21" ht="17" thickBot="1" x14ac:dyDescent="0.5">
      <c r="C18" s="48"/>
      <c r="D18" s="48"/>
      <c r="E18" s="48"/>
      <c r="F18" s="48"/>
      <c r="G18" s="46" t="s">
        <v>28</v>
      </c>
      <c r="H18" s="46" t="s">
        <v>21</v>
      </c>
      <c r="I18" s="46" t="s">
        <v>21</v>
      </c>
      <c r="J18" s="46" t="s">
        <v>32</v>
      </c>
      <c r="K18" s="46" t="s">
        <v>100</v>
      </c>
      <c r="L18" s="46" t="s">
        <v>101</v>
      </c>
      <c r="M18" s="46"/>
      <c r="N18" s="46" t="s">
        <v>34</v>
      </c>
    </row>
    <row r="19" spans="1:21" ht="31.5" thickBot="1" x14ac:dyDescent="0.75">
      <c r="C19" s="43"/>
      <c r="D19" s="44">
        <v>-15</v>
      </c>
      <c r="E19" s="69" t="str">
        <f>IF($D$5="Average","Not Applicable",IF($D$5="Warmer","Not Applicable",IF($D$5="Colder",(minus15-16)/(Tdesignh-16),"Check Value")))</f>
        <v>Not Applicable</v>
      </c>
      <c r="F19" s="69" t="str">
        <f>IF($D$5="Average","Not Applicable",IF($D$5="Warmer","Not Applicable",IF($D$5="Colder",(minus15-16)/(Tdesignh-16),"Check Value")))</f>
        <v>Not Applicable</v>
      </c>
      <c r="G19" s="69"/>
      <c r="H19" s="44"/>
      <c r="I19" s="44"/>
      <c r="J19" s="44"/>
      <c r="K19" s="44"/>
      <c r="L19" s="44"/>
      <c r="M19" s="44"/>
      <c r="N19" s="44"/>
      <c r="P19" s="57" t="s">
        <v>71</v>
      </c>
      <c r="Q19" s="70" t="e">
        <f>IF(Q17&gt;=150,"A++",IF(AND(Q17&lt;150,Q17&gt;=123),"A+",IF(AND(Q17&lt;123,Q17&gt;=115),"A",IF(AND(Q17&lt;115,Q17&gt;=107),"B",IF(AND(Q17&lt;107,Q17&gt;=100),"C",IF(AND(Q17&lt;100,Q17&gt;=61),"D",IF(AND(Q17&lt;61,Q17&gt;=59),"E",IF(AND(Q17&lt;59,Q17&gt;=55),"F","G"))))))))</f>
        <v>#DIV/0!</v>
      </c>
    </row>
    <row r="20" spans="1:21" ht="15" thickBot="1" x14ac:dyDescent="0.4">
      <c r="C20" s="71" t="s">
        <v>15</v>
      </c>
      <c r="D20" s="71">
        <v>-7</v>
      </c>
      <c r="E20" s="44">
        <f>IF('ErP Inputs'!D4="Ground Source",0,IF('ErP Inputs'!D4="Air Source",-7,10))</f>
        <v>-7</v>
      </c>
      <c r="F20" s="71">
        <f>'ErP Inputs'!F19</f>
        <v>34</v>
      </c>
      <c r="G20" s="72">
        <f>(D20-16)/(Tdesignh-16)</f>
        <v>0.88461538461538458</v>
      </c>
      <c r="H20" s="47">
        <f>G20*$D$7</f>
        <v>0</v>
      </c>
      <c r="I20" s="47">
        <f>'ErP Inputs'!E20</f>
        <v>0</v>
      </c>
      <c r="J20" s="47">
        <f>'ErP Inputs'!E21</f>
        <v>0</v>
      </c>
      <c r="K20" s="47">
        <f>IF('ErP Inputs'!E22="",0.9,'ErP Inputs'!E22)</f>
        <v>0.9</v>
      </c>
      <c r="L20" s="47" t="e">
        <f>IF(I20&lt;H20,1,H20/I20)</f>
        <v>#DIV/0!</v>
      </c>
      <c r="M20" s="47" t="e">
        <f>L20/(K20*L20+(1-K20))</f>
        <v>#DIV/0!</v>
      </c>
      <c r="N20" s="47" t="e">
        <f>IF(L20=1,J20,J20*L20/(K20*L20+(1-K20)))</f>
        <v>#DIV/0!</v>
      </c>
    </row>
    <row r="21" spans="1:21" ht="17" thickBot="1" x14ac:dyDescent="0.4">
      <c r="C21" s="71" t="s">
        <v>16</v>
      </c>
      <c r="D21" s="71">
        <v>2</v>
      </c>
      <c r="E21" s="44">
        <f>IF('ErP Inputs'!D4="Ground Source",0,IF('ErP Inputs'!D4="Air Source",2,10))</f>
        <v>2</v>
      </c>
      <c r="F21" s="71">
        <f>'ErP Inputs'!H19</f>
        <v>30</v>
      </c>
      <c r="G21" s="72">
        <f>(D21-16)/(Tdesignh-16)</f>
        <v>0.53846153846153844</v>
      </c>
      <c r="H21" s="47">
        <f>G21*$D$7</f>
        <v>0</v>
      </c>
      <c r="I21" s="47">
        <f>'ErP Inputs'!G20</f>
        <v>0</v>
      </c>
      <c r="J21" s="47">
        <f>'ErP Inputs'!G21</f>
        <v>0</v>
      </c>
      <c r="K21" s="47">
        <f>IF('ErP Inputs'!G22="",0.9,'ErP Inputs'!G22)</f>
        <v>0.9</v>
      </c>
      <c r="L21" s="47" t="e">
        <f>IF(I21&lt;H21,1,H21/I21)</f>
        <v>#DIV/0!</v>
      </c>
      <c r="M21" s="47" t="e">
        <f>L21/(K21*L21+(1-K21))</f>
        <v>#DIV/0!</v>
      </c>
      <c r="N21" s="47" t="e">
        <f>IF(L21=1,J21,J21*L21/(K21*L21+(1-K21)))</f>
        <v>#DIV/0!</v>
      </c>
      <c r="P21" s="57" t="s">
        <v>190</v>
      </c>
      <c r="Q21" s="73" t="str">
        <f>IF(Q22=FALSE,MIN(S31:S56),"N/A")</f>
        <v>N/A</v>
      </c>
      <c r="R21" s="38" t="s">
        <v>20</v>
      </c>
    </row>
    <row r="22" spans="1:21" x14ac:dyDescent="0.35">
      <c r="C22" s="71" t="s">
        <v>17</v>
      </c>
      <c r="D22" s="71">
        <v>7</v>
      </c>
      <c r="E22" s="44">
        <f>IF('ErP Inputs'!D4="Ground Source",0,IF('ErP Inputs'!D4="Air Source",7,10))</f>
        <v>7</v>
      </c>
      <c r="F22" s="71">
        <f>'ErP Inputs'!J19</f>
        <v>27</v>
      </c>
      <c r="G22" s="72">
        <f>(D22-16)/(Tdesignh-16)</f>
        <v>0.34615384615384615</v>
      </c>
      <c r="H22" s="47">
        <f>G22*$D$7</f>
        <v>0</v>
      </c>
      <c r="I22" s="47">
        <f>'ErP Inputs'!I20</f>
        <v>0</v>
      </c>
      <c r="J22" s="47">
        <f>'ErP Inputs'!I21</f>
        <v>0</v>
      </c>
      <c r="K22" s="47">
        <f>IF('ErP Inputs'!I22="",0.9,'ErP Inputs'!I22)</f>
        <v>0.9</v>
      </c>
      <c r="L22" s="47" t="e">
        <f>IF(I22&lt;H22,1,H22/I22)</f>
        <v>#DIV/0!</v>
      </c>
      <c r="M22" s="47" t="e">
        <f>L22/(K22*L22+(1-K22))</f>
        <v>#DIV/0!</v>
      </c>
      <c r="N22" s="47" t="e">
        <f>IF(L22=1,J22,J22*L22/(K22*L22+(1-K22)))</f>
        <v>#DIV/0!</v>
      </c>
      <c r="Q22" s="52" t="b">
        <f>ISERROR(N27)</f>
        <v>1</v>
      </c>
    </row>
    <row r="23" spans="1:21" x14ac:dyDescent="0.35">
      <c r="C23" s="71" t="s">
        <v>18</v>
      </c>
      <c r="D23" s="71">
        <v>12</v>
      </c>
      <c r="E23" s="44">
        <f>IF('ErP Inputs'!D4="Ground Source",0,IF('ErP Inputs'!D4="Air Source",12,10))</f>
        <v>12</v>
      </c>
      <c r="F23" s="71">
        <f>'ErP Inputs'!L19</f>
        <v>24</v>
      </c>
      <c r="G23" s="72">
        <f>(D23-16)/(Tdesignh-16)</f>
        <v>0.15384615384615385</v>
      </c>
      <c r="H23" s="47">
        <f>G23*$D$7</f>
        <v>0</v>
      </c>
      <c r="I23" s="47">
        <f>'ErP Inputs'!K20</f>
        <v>0</v>
      </c>
      <c r="J23" s="47">
        <f>'ErP Inputs'!K21</f>
        <v>0</v>
      </c>
      <c r="K23" s="47">
        <f>IF('ErP Inputs'!K22="",0.9,'ErP Inputs'!K22)</f>
        <v>0.9</v>
      </c>
      <c r="L23" s="47" t="e">
        <f>IF(I23&lt;H23,1,H23/I23)</f>
        <v>#DIV/0!</v>
      </c>
      <c r="M23" s="47" t="e">
        <f>L23/(K23*L23+(1-K23))</f>
        <v>#DIV/0!</v>
      </c>
      <c r="N23" s="47" t="e">
        <f>IF(L23=1,J23,J23*L23/(K23*L23+(1-K23)))</f>
        <v>#DIV/0!</v>
      </c>
    </row>
    <row r="24" spans="1:21" x14ac:dyDescent="0.35">
      <c r="C24" s="71" t="s">
        <v>166</v>
      </c>
      <c r="D24" s="71">
        <f>IF(OR('ErP Inputs'!D4="Ground Source",'ErP Inputs'!D4="Water Source"),-10,IF('ErP Inputs'!D35&gt;-7,"N/A",IF(AND('ErP Inputs'!D35&gt;=Tdesignh,'ErP Inputs'!D35&lt;=-7),'ErP Inputs'!D35,Tdesignh)))</f>
        <v>-10</v>
      </c>
      <c r="E24" s="44">
        <f>IF('ErP Inputs'!D4="Ground Source",0,IF('ErP Inputs'!D4="Air Source",D24,10))</f>
        <v>-10</v>
      </c>
      <c r="F24" s="71">
        <f>'ErP Inputs'!N19</f>
        <v>35</v>
      </c>
      <c r="G24" s="72">
        <f>(D24-16)/(Tdesignh-16)</f>
        <v>1</v>
      </c>
      <c r="H24" s="47">
        <f>G24*$D$7</f>
        <v>0</v>
      </c>
      <c r="I24" s="47">
        <f>'ErP Inputs'!M20</f>
        <v>0</v>
      </c>
      <c r="J24" s="47">
        <f>'ErP Inputs'!M21</f>
        <v>0</v>
      </c>
      <c r="K24" s="47">
        <f>IF('ErP Inputs'!M22="",0.9,'ErP Inputs'!M22)</f>
        <v>0.9</v>
      </c>
      <c r="L24" s="47" t="e">
        <f>IF(I24&lt;H24,1,H24/I24)</f>
        <v>#DIV/0!</v>
      </c>
      <c r="M24" s="47" t="e">
        <f>L24/(K24*L24+(1-K24))</f>
        <v>#DIV/0!</v>
      </c>
      <c r="N24" s="47" t="e">
        <f>IF(L24=1,J24,J24*L24/(K24*L24+(1-K24)))</f>
        <v>#DIV/0!</v>
      </c>
    </row>
    <row r="25" spans="1:21" x14ac:dyDescent="0.35">
      <c r="C25" s="74"/>
      <c r="D25" s="74"/>
      <c r="E25" s="74"/>
      <c r="F25" s="75"/>
      <c r="G25" s="76"/>
      <c r="H25" s="76"/>
      <c r="I25" s="76"/>
      <c r="J25" s="74"/>
      <c r="K25" s="76"/>
      <c r="L25" s="76"/>
      <c r="M25" s="76"/>
    </row>
    <row r="26" spans="1:21" ht="15" thickBot="1" x14ac:dyDescent="0.4"/>
    <row r="27" spans="1:21" ht="17" thickBot="1" x14ac:dyDescent="0.5">
      <c r="M27" s="77" t="s">
        <v>45</v>
      </c>
      <c r="N27" s="78" t="e">
        <f>N58</f>
        <v>#DIV/0!</v>
      </c>
      <c r="P27" s="77" t="s">
        <v>57</v>
      </c>
      <c r="Q27" s="78" t="e">
        <f>Q58</f>
        <v>#DIV/0!</v>
      </c>
    </row>
    <row r="28" spans="1:21" ht="52.5" customHeight="1" x14ac:dyDescent="0.45">
      <c r="C28" s="46" t="s">
        <v>35</v>
      </c>
      <c r="D28" s="67" t="s">
        <v>36</v>
      </c>
      <c r="E28" s="46" t="s">
        <v>37</v>
      </c>
      <c r="F28" s="46" t="s">
        <v>23</v>
      </c>
      <c r="G28" s="46" t="s">
        <v>29</v>
      </c>
      <c r="H28" s="67" t="s">
        <v>42</v>
      </c>
      <c r="I28" s="67" t="s">
        <v>40</v>
      </c>
      <c r="J28" s="67" t="s">
        <v>38</v>
      </c>
      <c r="K28" s="67" t="s">
        <v>41</v>
      </c>
      <c r="L28" s="67" t="s">
        <v>43</v>
      </c>
      <c r="M28" s="67" t="s">
        <v>34</v>
      </c>
      <c r="N28" s="67" t="s">
        <v>44</v>
      </c>
      <c r="P28" s="67" t="s">
        <v>46</v>
      </c>
      <c r="Q28" s="67" t="s">
        <v>48</v>
      </c>
    </row>
    <row r="29" spans="1:21" ht="16.5" x14ac:dyDescent="0.45">
      <c r="C29" s="46" t="s">
        <v>0</v>
      </c>
      <c r="D29" s="46" t="s">
        <v>54</v>
      </c>
      <c r="E29" s="46" t="s">
        <v>53</v>
      </c>
      <c r="F29" s="46"/>
      <c r="G29" s="46" t="s">
        <v>52</v>
      </c>
      <c r="H29" s="46" t="s">
        <v>51</v>
      </c>
      <c r="I29" s="46"/>
      <c r="J29" s="46"/>
      <c r="K29" s="46" t="s">
        <v>50</v>
      </c>
      <c r="L29" s="46" t="s">
        <v>49</v>
      </c>
      <c r="M29" s="67"/>
      <c r="N29" s="46" t="s">
        <v>56</v>
      </c>
      <c r="P29" s="46" t="s">
        <v>47</v>
      </c>
      <c r="Q29" s="46" t="s">
        <v>55</v>
      </c>
    </row>
    <row r="30" spans="1:21" ht="16.5" x14ac:dyDescent="0.35">
      <c r="C30" s="46"/>
      <c r="D30" s="46" t="s">
        <v>20</v>
      </c>
      <c r="E30" s="46" t="s">
        <v>4</v>
      </c>
      <c r="F30" s="46"/>
      <c r="G30" s="46" t="s">
        <v>21</v>
      </c>
      <c r="H30" s="46" t="s">
        <v>22</v>
      </c>
      <c r="I30" s="46" t="s">
        <v>21</v>
      </c>
      <c r="J30" s="46" t="s">
        <v>21</v>
      </c>
      <c r="K30" s="67" t="s">
        <v>21</v>
      </c>
      <c r="L30" s="46" t="s">
        <v>22</v>
      </c>
      <c r="M30" s="67"/>
      <c r="N30" s="46" t="s">
        <v>22</v>
      </c>
      <c r="P30" s="46" t="s">
        <v>22</v>
      </c>
      <c r="Q30" s="46" t="s">
        <v>22</v>
      </c>
    </row>
    <row r="31" spans="1:21" x14ac:dyDescent="0.35">
      <c r="C31" s="44">
        <v>21</v>
      </c>
      <c r="D31" s="44">
        <v>-10</v>
      </c>
      <c r="E31" s="44">
        <f>HLOOKUP($D$5,'Table 37'!$B$3:$F$51,24,FALSE)</f>
        <v>1</v>
      </c>
      <c r="F31" s="79">
        <f t="shared" ref="F31:F56" si="0">(D31-16)/(Tdesignh-16)</f>
        <v>1</v>
      </c>
      <c r="G31" s="79">
        <f>$D$7*F31</f>
        <v>0</v>
      </c>
      <c r="H31" s="80">
        <f t="shared" ref="H31:H56" si="1">E31*G31</f>
        <v>0</v>
      </c>
      <c r="I31" s="81">
        <f>IF(D24&gt;D31,0,I24)</f>
        <v>0</v>
      </c>
      <c r="J31" s="81">
        <f>IF(G31&lt;I31,G31,I31)</f>
        <v>0</v>
      </c>
      <c r="K31" s="82">
        <f t="shared" ref="K31:K56" si="2">IF(G31-I31&gt;0,G31-I31,0)</f>
        <v>0</v>
      </c>
      <c r="L31" s="80">
        <f>IF(D24="N/A",#DIV/0!,K31*E31)</f>
        <v>0</v>
      </c>
      <c r="M31" s="83" t="e">
        <f>COPPL_TOL</f>
        <v>#DIV/0!</v>
      </c>
      <c r="N31" s="80">
        <f>IFERROR(E31*((G31-K31)/M31+K31),L31)</f>
        <v>0</v>
      </c>
      <c r="O31" s="51"/>
      <c r="P31" s="80">
        <f t="shared" ref="P31:P56" si="3">E31*(G31-K31)</f>
        <v>0</v>
      </c>
      <c r="Q31" s="80">
        <f>IF(P31=0,L31,IF(F31&lt;1,E31*Q31/M31,E31*(G31-K31)/M31))</f>
        <v>0</v>
      </c>
      <c r="R31" s="52">
        <f>IF(G31=I31,D31,IF(AND(G31&gt;I31,G32&lt;I32),TRUE,FALSE))</f>
        <v>-10</v>
      </c>
      <c r="S31" s="84">
        <f>IF(R31=FALSE,"N/A",D31)</f>
        <v>-10</v>
      </c>
      <c r="T31" s="86"/>
      <c r="U31" s="45"/>
    </row>
    <row r="32" spans="1:21" x14ac:dyDescent="0.35">
      <c r="C32" s="44">
        <v>22</v>
      </c>
      <c r="D32" s="44">
        <v>-9</v>
      </c>
      <c r="E32" s="44">
        <f>HLOOKUP($D$5,'Table 37'!$B$3:$F$51,25,FALSE)</f>
        <v>25</v>
      </c>
      <c r="F32" s="79">
        <f t="shared" si="0"/>
        <v>0.96153846153846156</v>
      </c>
      <c r="G32" s="79">
        <f t="shared" ref="G32:G56" si="4">$D$7*F32</f>
        <v>0</v>
      </c>
      <c r="H32" s="80">
        <f t="shared" si="1"/>
        <v>0</v>
      </c>
      <c r="I32" s="79">
        <f>IF(D24&gt;D32,0,IF(D24=D32,I24,(($I$20-$I$24)/($D$20-$D$24)*(D32-$D$24)+$I$24)))</f>
        <v>0</v>
      </c>
      <c r="J32" s="79">
        <f>IF(I32=0,0,IF(G32&lt;(($I$20-$I$24)/($D$20-$D$24)*(D32-$D$24)+$I$24),G32,(($I$20-$I$24)/($D$20-$D$24)*(D32-$D$24)+$I$24)))</f>
        <v>0</v>
      </c>
      <c r="K32" s="82">
        <f>IF(G32-I32&gt;0,G32-I32,0)</f>
        <v>0</v>
      </c>
      <c r="L32" s="80">
        <f t="shared" ref="L32:L56" si="5">K32*E32</f>
        <v>0</v>
      </c>
      <c r="M32" s="82" t="e">
        <f>((COPPL_a-COPPL_TOL)/($D$20-$D$24)*(D32-$D$24)+COPPL_TOL)</f>
        <v>#DIV/0!</v>
      </c>
      <c r="N32" s="80">
        <f>IFERROR(E32*((G32-K32)/M32+K32),L32)</f>
        <v>0</v>
      </c>
      <c r="O32" s="51"/>
      <c r="P32" s="80">
        <f t="shared" si="3"/>
        <v>0</v>
      </c>
      <c r="Q32" s="80">
        <f>IF(P31=0,L32,E32*(G32-K32)/M32)</f>
        <v>0</v>
      </c>
      <c r="R32" s="52">
        <f t="shared" ref="R32:R56" si="6">IF(G32=I32,D32,IF(AND(G32&gt;I32,G33&lt;I33),TRUE,FALSE))</f>
        <v>-9</v>
      </c>
      <c r="S32" s="84">
        <f t="shared" ref="S32:S56" si="7">IF(R32=FALSE,"N/A",D32)</f>
        <v>-9</v>
      </c>
      <c r="T32" s="86"/>
    </row>
    <row r="33" spans="3:20" x14ac:dyDescent="0.35">
      <c r="C33" s="44">
        <v>23</v>
      </c>
      <c r="D33" s="44">
        <v>-8</v>
      </c>
      <c r="E33" s="44">
        <f>HLOOKUP($D$5,'Table 37'!$B$3:$F$51,26,FALSE)</f>
        <v>23</v>
      </c>
      <c r="F33" s="79">
        <f t="shared" si="0"/>
        <v>0.92307692307692313</v>
      </c>
      <c r="G33" s="79">
        <f t="shared" si="4"/>
        <v>0</v>
      </c>
      <c r="H33" s="80">
        <f t="shared" si="1"/>
        <v>0</v>
      </c>
      <c r="I33" s="79">
        <f>IF(D24&gt;D33,0,IF(D24=D33,I24,(($I$20-$I$24)/($D$20-$D$24)*(D33-$D$24)+$I$24)))</f>
        <v>0</v>
      </c>
      <c r="J33" s="79">
        <f>IF(D24&gt;=-7,0,IF(G33&lt;(($I$20-$I$24)/($D$20-$D$24)*(D33-$D$24)+$I$24),G33,(($I$20-$I$24)/($D$20-$D$24)*(D33-$D$24)+$I$24)))</f>
        <v>0</v>
      </c>
      <c r="K33" s="82">
        <f t="shared" si="2"/>
        <v>0</v>
      </c>
      <c r="L33" s="80">
        <f t="shared" si="5"/>
        <v>0</v>
      </c>
      <c r="M33" s="82" t="e">
        <f>((COPPL_a-COPPL_TOL)/($D$20-$D$24)*(D33-$D$24)+COPPL_TOL)</f>
        <v>#DIV/0!</v>
      </c>
      <c r="N33" s="80">
        <f>IFERROR(E33*((G33-K33)/M33+K33),L33)</f>
        <v>0</v>
      </c>
      <c r="O33" s="51"/>
      <c r="P33" s="80">
        <f t="shared" si="3"/>
        <v>0</v>
      </c>
      <c r="Q33" s="80">
        <f>IF(P31=0,L33,E33*(G33-K33)/M33)</f>
        <v>0</v>
      </c>
      <c r="R33" s="52">
        <f t="shared" si="6"/>
        <v>-8</v>
      </c>
      <c r="S33" s="84">
        <f t="shared" si="7"/>
        <v>-8</v>
      </c>
      <c r="T33" s="86"/>
    </row>
    <row r="34" spans="3:20" x14ac:dyDescent="0.35">
      <c r="C34" s="44">
        <v>24</v>
      </c>
      <c r="D34" s="44">
        <v>-7</v>
      </c>
      <c r="E34" s="44">
        <f>HLOOKUP($D$5,'Table 37'!$B$3:$F$51,27,FALSE)</f>
        <v>24</v>
      </c>
      <c r="F34" s="79">
        <f t="shared" si="0"/>
        <v>0.88461538461538458</v>
      </c>
      <c r="G34" s="79">
        <f t="shared" si="4"/>
        <v>0</v>
      </c>
      <c r="H34" s="80">
        <f t="shared" si="1"/>
        <v>0</v>
      </c>
      <c r="I34" s="81">
        <f>I20</f>
        <v>0</v>
      </c>
      <c r="J34" s="81">
        <f>IF(G34&lt;I20,G34,I20)</f>
        <v>0</v>
      </c>
      <c r="K34" s="82">
        <f t="shared" si="2"/>
        <v>0</v>
      </c>
      <c r="L34" s="80">
        <f t="shared" si="5"/>
        <v>0</v>
      </c>
      <c r="M34" s="83" t="e">
        <f>COPPL_a</f>
        <v>#DIV/0!</v>
      </c>
      <c r="N34" s="80" t="e">
        <f t="shared" ref="N34:N56" si="8">E34*((G34-K34)/M34+K34)</f>
        <v>#DIV/0!</v>
      </c>
      <c r="O34" s="51"/>
      <c r="P34" s="80">
        <f t="shared" si="3"/>
        <v>0</v>
      </c>
      <c r="Q34" s="80" t="e">
        <f t="shared" ref="Q34:Q56" si="9">E34*(G34-K34)/M34</f>
        <v>#DIV/0!</v>
      </c>
      <c r="R34" s="52">
        <f t="shared" si="6"/>
        <v>-7</v>
      </c>
      <c r="S34" s="84">
        <f t="shared" si="7"/>
        <v>-7</v>
      </c>
      <c r="T34" s="86"/>
    </row>
    <row r="35" spans="3:20" x14ac:dyDescent="0.35">
      <c r="C35" s="44">
        <v>25</v>
      </c>
      <c r="D35" s="44">
        <v>-6</v>
      </c>
      <c r="E35" s="44">
        <f>HLOOKUP($D$5,'Table 37'!$B$3:$F$51,28,FALSE)</f>
        <v>27</v>
      </c>
      <c r="F35" s="79">
        <f t="shared" si="0"/>
        <v>0.84615384615384615</v>
      </c>
      <c r="G35" s="79">
        <f t="shared" si="4"/>
        <v>0</v>
      </c>
      <c r="H35" s="80">
        <f t="shared" si="1"/>
        <v>0</v>
      </c>
      <c r="I35" s="79">
        <f t="shared" ref="I35:I42" si="10">(($I$21-$I$20)/($D$21-$D$20)*(D35-$D$20)+$I$20)</f>
        <v>0</v>
      </c>
      <c r="J35" s="79">
        <f t="shared" ref="J35:J42" si="11">IF(G35&lt;(($I$21-$I$20)/($D$21-$D$20)*(D35-$D$20)+$I$20),G35,(($I$21-$I$20)/($D$21-$D$20)*(D35-$D$20)+$I$20))</f>
        <v>0</v>
      </c>
      <c r="K35" s="82">
        <f t="shared" si="2"/>
        <v>0</v>
      </c>
      <c r="L35" s="80">
        <f t="shared" si="5"/>
        <v>0</v>
      </c>
      <c r="M35" s="82" t="e">
        <f t="shared" ref="M35:M42" si="12">((COPPL_b-COPPL_a)/($D$21-$D$20)*(D35-$D$20)+COPPL_a)</f>
        <v>#DIV/0!</v>
      </c>
      <c r="N35" s="80" t="e">
        <f t="shared" si="8"/>
        <v>#DIV/0!</v>
      </c>
      <c r="O35" s="51"/>
      <c r="P35" s="80">
        <f t="shared" si="3"/>
        <v>0</v>
      </c>
      <c r="Q35" s="80" t="e">
        <f t="shared" si="9"/>
        <v>#DIV/0!</v>
      </c>
      <c r="R35" s="52">
        <f t="shared" si="6"/>
        <v>-6</v>
      </c>
      <c r="S35" s="84">
        <f t="shared" si="7"/>
        <v>-6</v>
      </c>
      <c r="T35" s="86"/>
    </row>
    <row r="36" spans="3:20" x14ac:dyDescent="0.35">
      <c r="C36" s="44">
        <v>26</v>
      </c>
      <c r="D36" s="44">
        <v>-5</v>
      </c>
      <c r="E36" s="44">
        <f>HLOOKUP($D$5,'Table 37'!$B$3:$F$51,29,FALSE)</f>
        <v>68</v>
      </c>
      <c r="F36" s="79">
        <f t="shared" si="0"/>
        <v>0.80769230769230771</v>
      </c>
      <c r="G36" s="79">
        <f t="shared" si="4"/>
        <v>0</v>
      </c>
      <c r="H36" s="80">
        <f t="shared" si="1"/>
        <v>0</v>
      </c>
      <c r="I36" s="79">
        <f t="shared" si="10"/>
        <v>0</v>
      </c>
      <c r="J36" s="79">
        <f t="shared" si="11"/>
        <v>0</v>
      </c>
      <c r="K36" s="82">
        <f t="shared" si="2"/>
        <v>0</v>
      </c>
      <c r="L36" s="80">
        <f t="shared" si="5"/>
        <v>0</v>
      </c>
      <c r="M36" s="82" t="e">
        <f t="shared" si="12"/>
        <v>#DIV/0!</v>
      </c>
      <c r="N36" s="80" t="e">
        <f t="shared" si="8"/>
        <v>#DIV/0!</v>
      </c>
      <c r="O36" s="51"/>
      <c r="P36" s="80">
        <f t="shared" si="3"/>
        <v>0</v>
      </c>
      <c r="Q36" s="80" t="e">
        <f t="shared" si="9"/>
        <v>#DIV/0!</v>
      </c>
      <c r="R36" s="52">
        <f t="shared" si="6"/>
        <v>-5</v>
      </c>
      <c r="S36" s="84">
        <f t="shared" si="7"/>
        <v>-5</v>
      </c>
      <c r="T36" s="86"/>
    </row>
    <row r="37" spans="3:20" x14ac:dyDescent="0.35">
      <c r="C37" s="44">
        <v>27</v>
      </c>
      <c r="D37" s="44">
        <v>-4</v>
      </c>
      <c r="E37" s="44">
        <f>HLOOKUP($D$5,'Table 37'!$B$3:$F$51,30,FALSE)</f>
        <v>91</v>
      </c>
      <c r="F37" s="79">
        <f t="shared" si="0"/>
        <v>0.76923076923076927</v>
      </c>
      <c r="G37" s="79">
        <f t="shared" si="4"/>
        <v>0</v>
      </c>
      <c r="H37" s="80">
        <f t="shared" si="1"/>
        <v>0</v>
      </c>
      <c r="I37" s="79">
        <f t="shared" si="10"/>
        <v>0</v>
      </c>
      <c r="J37" s="79">
        <f t="shared" si="11"/>
        <v>0</v>
      </c>
      <c r="K37" s="82">
        <f t="shared" si="2"/>
        <v>0</v>
      </c>
      <c r="L37" s="80">
        <f t="shared" si="5"/>
        <v>0</v>
      </c>
      <c r="M37" s="82" t="e">
        <f t="shared" si="12"/>
        <v>#DIV/0!</v>
      </c>
      <c r="N37" s="80" t="e">
        <f t="shared" si="8"/>
        <v>#DIV/0!</v>
      </c>
      <c r="O37" s="51"/>
      <c r="P37" s="80">
        <f t="shared" si="3"/>
        <v>0</v>
      </c>
      <c r="Q37" s="80" t="e">
        <f t="shared" si="9"/>
        <v>#DIV/0!</v>
      </c>
      <c r="R37" s="52">
        <f t="shared" si="6"/>
        <v>-4</v>
      </c>
      <c r="S37" s="84">
        <f t="shared" si="7"/>
        <v>-4</v>
      </c>
      <c r="T37" s="86"/>
    </row>
    <row r="38" spans="3:20" x14ac:dyDescent="0.35">
      <c r="C38" s="44">
        <v>28</v>
      </c>
      <c r="D38" s="44">
        <v>-3</v>
      </c>
      <c r="E38" s="44">
        <f>HLOOKUP($D$5,'Table 37'!$B$3:$F$51,31,FALSE)</f>
        <v>89</v>
      </c>
      <c r="F38" s="79">
        <f t="shared" si="0"/>
        <v>0.73076923076923073</v>
      </c>
      <c r="G38" s="79">
        <f t="shared" si="4"/>
        <v>0</v>
      </c>
      <c r="H38" s="80">
        <f t="shared" si="1"/>
        <v>0</v>
      </c>
      <c r="I38" s="79">
        <f t="shared" si="10"/>
        <v>0</v>
      </c>
      <c r="J38" s="79">
        <f t="shared" si="11"/>
        <v>0</v>
      </c>
      <c r="K38" s="82">
        <f t="shared" si="2"/>
        <v>0</v>
      </c>
      <c r="L38" s="80">
        <f t="shared" si="5"/>
        <v>0</v>
      </c>
      <c r="M38" s="82" t="e">
        <f t="shared" si="12"/>
        <v>#DIV/0!</v>
      </c>
      <c r="N38" s="80" t="e">
        <f t="shared" si="8"/>
        <v>#DIV/0!</v>
      </c>
      <c r="O38" s="51"/>
      <c r="P38" s="80">
        <f t="shared" si="3"/>
        <v>0</v>
      </c>
      <c r="Q38" s="80" t="e">
        <f t="shared" si="9"/>
        <v>#DIV/0!</v>
      </c>
      <c r="R38" s="52">
        <f t="shared" si="6"/>
        <v>-3</v>
      </c>
      <c r="S38" s="84">
        <f t="shared" si="7"/>
        <v>-3</v>
      </c>
      <c r="T38" s="86"/>
    </row>
    <row r="39" spans="3:20" x14ac:dyDescent="0.35">
      <c r="C39" s="44">
        <v>29</v>
      </c>
      <c r="D39" s="44">
        <v>-2</v>
      </c>
      <c r="E39" s="44">
        <f>HLOOKUP($D$5,'Table 37'!$B$3:$F$51,32,FALSE)</f>
        <v>165</v>
      </c>
      <c r="F39" s="79">
        <f t="shared" si="0"/>
        <v>0.69230769230769229</v>
      </c>
      <c r="G39" s="79">
        <f t="shared" si="4"/>
        <v>0</v>
      </c>
      <c r="H39" s="80">
        <f t="shared" si="1"/>
        <v>0</v>
      </c>
      <c r="I39" s="79">
        <f t="shared" si="10"/>
        <v>0</v>
      </c>
      <c r="J39" s="79">
        <f t="shared" si="11"/>
        <v>0</v>
      </c>
      <c r="K39" s="82">
        <f t="shared" si="2"/>
        <v>0</v>
      </c>
      <c r="L39" s="80">
        <f t="shared" si="5"/>
        <v>0</v>
      </c>
      <c r="M39" s="82" t="e">
        <f t="shared" si="12"/>
        <v>#DIV/0!</v>
      </c>
      <c r="N39" s="80" t="e">
        <f t="shared" si="8"/>
        <v>#DIV/0!</v>
      </c>
      <c r="O39" s="51"/>
      <c r="P39" s="80">
        <f t="shared" si="3"/>
        <v>0</v>
      </c>
      <c r="Q39" s="80" t="e">
        <f t="shared" si="9"/>
        <v>#DIV/0!</v>
      </c>
      <c r="R39" s="52">
        <f t="shared" si="6"/>
        <v>-2</v>
      </c>
      <c r="S39" s="84">
        <f t="shared" si="7"/>
        <v>-2</v>
      </c>
      <c r="T39" s="86"/>
    </row>
    <row r="40" spans="3:20" x14ac:dyDescent="0.35">
      <c r="C40" s="44">
        <v>30</v>
      </c>
      <c r="D40" s="44">
        <v>-1</v>
      </c>
      <c r="E40" s="44">
        <f>HLOOKUP($D$5,'Table 37'!$B$3:$F$51,33,FALSE)</f>
        <v>173</v>
      </c>
      <c r="F40" s="79">
        <f t="shared" si="0"/>
        <v>0.65384615384615385</v>
      </c>
      <c r="G40" s="79">
        <f t="shared" si="4"/>
        <v>0</v>
      </c>
      <c r="H40" s="80">
        <f t="shared" si="1"/>
        <v>0</v>
      </c>
      <c r="I40" s="79">
        <f t="shared" si="10"/>
        <v>0</v>
      </c>
      <c r="J40" s="79">
        <f t="shared" si="11"/>
        <v>0</v>
      </c>
      <c r="K40" s="82">
        <f t="shared" si="2"/>
        <v>0</v>
      </c>
      <c r="L40" s="80">
        <f t="shared" si="5"/>
        <v>0</v>
      </c>
      <c r="M40" s="82" t="e">
        <f t="shared" si="12"/>
        <v>#DIV/0!</v>
      </c>
      <c r="N40" s="80" t="e">
        <f t="shared" si="8"/>
        <v>#DIV/0!</v>
      </c>
      <c r="O40" s="51"/>
      <c r="P40" s="80">
        <f t="shared" si="3"/>
        <v>0</v>
      </c>
      <c r="Q40" s="80" t="e">
        <f t="shared" si="9"/>
        <v>#DIV/0!</v>
      </c>
      <c r="R40" s="52">
        <f t="shared" si="6"/>
        <v>-1</v>
      </c>
      <c r="S40" s="84">
        <f t="shared" si="7"/>
        <v>-1</v>
      </c>
      <c r="T40" s="86"/>
    </row>
    <row r="41" spans="3:20" x14ac:dyDescent="0.35">
      <c r="C41" s="44">
        <v>31</v>
      </c>
      <c r="D41" s="44">
        <v>0</v>
      </c>
      <c r="E41" s="44">
        <f>HLOOKUP($D$5,'Table 37'!$B$3:$F$51,34,FALSE)</f>
        <v>240</v>
      </c>
      <c r="F41" s="79">
        <f t="shared" si="0"/>
        <v>0.61538461538461542</v>
      </c>
      <c r="G41" s="79">
        <f t="shared" si="4"/>
        <v>0</v>
      </c>
      <c r="H41" s="80">
        <f t="shared" si="1"/>
        <v>0</v>
      </c>
      <c r="I41" s="79">
        <f t="shared" si="10"/>
        <v>0</v>
      </c>
      <c r="J41" s="79">
        <f t="shared" si="11"/>
        <v>0</v>
      </c>
      <c r="K41" s="82">
        <f t="shared" si="2"/>
        <v>0</v>
      </c>
      <c r="L41" s="80">
        <f t="shared" si="5"/>
        <v>0</v>
      </c>
      <c r="M41" s="82" t="e">
        <f t="shared" si="12"/>
        <v>#DIV/0!</v>
      </c>
      <c r="N41" s="80" t="e">
        <f t="shared" si="8"/>
        <v>#DIV/0!</v>
      </c>
      <c r="O41" s="51"/>
      <c r="P41" s="80">
        <f t="shared" si="3"/>
        <v>0</v>
      </c>
      <c r="Q41" s="80" t="e">
        <f t="shared" si="9"/>
        <v>#DIV/0!</v>
      </c>
      <c r="R41" s="52">
        <f t="shared" si="6"/>
        <v>0</v>
      </c>
      <c r="S41" s="84">
        <f t="shared" si="7"/>
        <v>0</v>
      </c>
      <c r="T41" s="86"/>
    </row>
    <row r="42" spans="3:20" x14ac:dyDescent="0.35">
      <c r="C42" s="44">
        <v>32</v>
      </c>
      <c r="D42" s="44">
        <v>1</v>
      </c>
      <c r="E42" s="44">
        <f>HLOOKUP($D$5,'Table 37'!$B$3:$F$51,35,FALSE)</f>
        <v>280</v>
      </c>
      <c r="F42" s="79">
        <f t="shared" si="0"/>
        <v>0.57692307692307687</v>
      </c>
      <c r="G42" s="79">
        <f t="shared" si="4"/>
        <v>0</v>
      </c>
      <c r="H42" s="80">
        <f t="shared" si="1"/>
        <v>0</v>
      </c>
      <c r="I42" s="79">
        <f t="shared" si="10"/>
        <v>0</v>
      </c>
      <c r="J42" s="79">
        <f t="shared" si="11"/>
        <v>0</v>
      </c>
      <c r="K42" s="82">
        <f t="shared" si="2"/>
        <v>0</v>
      </c>
      <c r="L42" s="80">
        <f t="shared" si="5"/>
        <v>0</v>
      </c>
      <c r="M42" s="82" t="e">
        <f t="shared" si="12"/>
        <v>#DIV/0!</v>
      </c>
      <c r="N42" s="80" t="e">
        <f t="shared" si="8"/>
        <v>#DIV/0!</v>
      </c>
      <c r="O42" s="51"/>
      <c r="P42" s="80">
        <f t="shared" si="3"/>
        <v>0</v>
      </c>
      <c r="Q42" s="80" t="e">
        <f t="shared" si="9"/>
        <v>#DIV/0!</v>
      </c>
      <c r="R42" s="52">
        <f t="shared" si="6"/>
        <v>1</v>
      </c>
      <c r="S42" s="84">
        <f t="shared" si="7"/>
        <v>1</v>
      </c>
      <c r="T42" s="86"/>
    </row>
    <row r="43" spans="3:20" x14ac:dyDescent="0.35">
      <c r="C43" s="44">
        <v>33</v>
      </c>
      <c r="D43" s="44">
        <v>2</v>
      </c>
      <c r="E43" s="44">
        <f>HLOOKUP($D$5,'Table 37'!$B$3:$F$51,36,FALSE)</f>
        <v>320</v>
      </c>
      <c r="F43" s="79">
        <f t="shared" si="0"/>
        <v>0.53846153846153844</v>
      </c>
      <c r="G43" s="79">
        <f t="shared" si="4"/>
        <v>0</v>
      </c>
      <c r="H43" s="80">
        <f t="shared" si="1"/>
        <v>0</v>
      </c>
      <c r="I43" s="81">
        <f>I21</f>
        <v>0</v>
      </c>
      <c r="J43" s="81">
        <f>IF(G43&lt;I21,G43,I21)</f>
        <v>0</v>
      </c>
      <c r="K43" s="82">
        <f t="shared" si="2"/>
        <v>0</v>
      </c>
      <c r="L43" s="80">
        <f t="shared" si="5"/>
        <v>0</v>
      </c>
      <c r="M43" s="83" t="e">
        <f>COPPL_b</f>
        <v>#DIV/0!</v>
      </c>
      <c r="N43" s="80" t="e">
        <f t="shared" si="8"/>
        <v>#DIV/0!</v>
      </c>
      <c r="O43" s="51"/>
      <c r="P43" s="80">
        <f t="shared" si="3"/>
        <v>0</v>
      </c>
      <c r="Q43" s="80" t="e">
        <f t="shared" si="9"/>
        <v>#DIV/0!</v>
      </c>
      <c r="R43" s="52">
        <f t="shared" si="6"/>
        <v>2</v>
      </c>
      <c r="S43" s="84">
        <f t="shared" si="7"/>
        <v>2</v>
      </c>
      <c r="T43" s="86"/>
    </row>
    <row r="44" spans="3:20" x14ac:dyDescent="0.35">
      <c r="C44" s="44">
        <v>34</v>
      </c>
      <c r="D44" s="44">
        <v>3</v>
      </c>
      <c r="E44" s="44">
        <f>HLOOKUP($D$5,'Table 37'!$B$3:$F$51,37,FALSE)</f>
        <v>357</v>
      </c>
      <c r="F44" s="79">
        <f t="shared" si="0"/>
        <v>0.5</v>
      </c>
      <c r="G44" s="79">
        <f t="shared" si="4"/>
        <v>0</v>
      </c>
      <c r="H44" s="80">
        <f t="shared" si="1"/>
        <v>0</v>
      </c>
      <c r="I44" s="79">
        <f>(($I$22-$I$21)/($D$22-$D$21)*(D44-$D$21)+$I$21)</f>
        <v>0</v>
      </c>
      <c r="J44" s="79">
        <f>IF(G44&lt;(($I$22-$I$21)/($D$22-$D$21)*(D44-$D$21)+$I$21),G44,(($I$22-$I$21)/($D$22-$D$21)*(D44-$D$21)+$I$21))</f>
        <v>0</v>
      </c>
      <c r="K44" s="82">
        <f t="shared" si="2"/>
        <v>0</v>
      </c>
      <c r="L44" s="80">
        <f t="shared" si="5"/>
        <v>0</v>
      </c>
      <c r="M44" s="82" t="e">
        <f>((COPPL_c-COPPL_b)/($D$22-$D$21)*(D44-$D$21)+COPPL_b)</f>
        <v>#DIV/0!</v>
      </c>
      <c r="N44" s="80" t="e">
        <f t="shared" si="8"/>
        <v>#DIV/0!</v>
      </c>
      <c r="O44" s="51"/>
      <c r="P44" s="80">
        <f t="shared" si="3"/>
        <v>0</v>
      </c>
      <c r="Q44" s="80" t="e">
        <f t="shared" si="9"/>
        <v>#DIV/0!</v>
      </c>
      <c r="R44" s="52">
        <f t="shared" si="6"/>
        <v>3</v>
      </c>
      <c r="S44" s="84">
        <f t="shared" si="7"/>
        <v>3</v>
      </c>
      <c r="T44" s="86"/>
    </row>
    <row r="45" spans="3:20" x14ac:dyDescent="0.35">
      <c r="C45" s="44">
        <v>35</v>
      </c>
      <c r="D45" s="44">
        <v>4</v>
      </c>
      <c r="E45" s="44">
        <f>HLOOKUP($D$5,'Table 37'!$B$3:$F$51,38,FALSE)</f>
        <v>356</v>
      </c>
      <c r="F45" s="79">
        <f t="shared" si="0"/>
        <v>0.46153846153846156</v>
      </c>
      <c r="G45" s="79">
        <f t="shared" si="4"/>
        <v>0</v>
      </c>
      <c r="H45" s="80">
        <f t="shared" si="1"/>
        <v>0</v>
      </c>
      <c r="I45" s="79">
        <f>(($I$22-$I$21)/($D$22-$D$21)*(D45-$D$21)+$I$21)</f>
        <v>0</v>
      </c>
      <c r="J45" s="79">
        <f>IF(G45&lt;(($I$22-$I$21)/($D$22-$D$21)*(D45-$D$21)+$I$21),G45,(($I$22-$I$21)/($D$22-$D$21)*(D45-$D$21)+$I$21))</f>
        <v>0</v>
      </c>
      <c r="K45" s="82">
        <f t="shared" si="2"/>
        <v>0</v>
      </c>
      <c r="L45" s="80">
        <f t="shared" si="5"/>
        <v>0</v>
      </c>
      <c r="M45" s="82" t="e">
        <f>((COPPL_c-COPPL_b)/($D$22-$D$21)*(D45-$D$21)+COPPL_b)</f>
        <v>#DIV/0!</v>
      </c>
      <c r="N45" s="80" t="e">
        <f t="shared" si="8"/>
        <v>#DIV/0!</v>
      </c>
      <c r="O45" s="51"/>
      <c r="P45" s="80">
        <f t="shared" si="3"/>
        <v>0</v>
      </c>
      <c r="Q45" s="80" t="e">
        <f t="shared" si="9"/>
        <v>#DIV/0!</v>
      </c>
      <c r="R45" s="52">
        <f t="shared" si="6"/>
        <v>4</v>
      </c>
      <c r="S45" s="84">
        <f t="shared" si="7"/>
        <v>4</v>
      </c>
      <c r="T45" s="86"/>
    </row>
    <row r="46" spans="3:20" x14ac:dyDescent="0.35">
      <c r="C46" s="44">
        <v>36</v>
      </c>
      <c r="D46" s="44">
        <v>5</v>
      </c>
      <c r="E46" s="44">
        <f>HLOOKUP($D$5,'Table 37'!$B$3:$F$51,39,FALSE)</f>
        <v>303</v>
      </c>
      <c r="F46" s="79">
        <f t="shared" si="0"/>
        <v>0.42307692307692307</v>
      </c>
      <c r="G46" s="79">
        <f t="shared" si="4"/>
        <v>0</v>
      </c>
      <c r="H46" s="80">
        <f t="shared" si="1"/>
        <v>0</v>
      </c>
      <c r="I46" s="79">
        <f>(($I$22-$I$21)/($D$22-$D$21)*(D46-$D$21)+$I$21)</f>
        <v>0</v>
      </c>
      <c r="J46" s="79">
        <f>IF(G46&lt;(($I$22-$I$21)/($D$22-$D$21)*(D46-$D$21)+$I$21),G46,(($I$22-$I$21)/($D$22-$D$21)*(D46-$D$21)+$I$21))</f>
        <v>0</v>
      </c>
      <c r="K46" s="82">
        <f t="shared" si="2"/>
        <v>0</v>
      </c>
      <c r="L46" s="80">
        <f t="shared" si="5"/>
        <v>0</v>
      </c>
      <c r="M46" s="82" t="e">
        <f>((COPPL_c-COPPL_b)/($D$22-$D$21)*(D46-$D$21)+COPPL_b)</f>
        <v>#DIV/0!</v>
      </c>
      <c r="N46" s="80" t="e">
        <f t="shared" si="8"/>
        <v>#DIV/0!</v>
      </c>
      <c r="O46" s="51"/>
      <c r="P46" s="80">
        <f t="shared" si="3"/>
        <v>0</v>
      </c>
      <c r="Q46" s="80" t="e">
        <f t="shared" si="9"/>
        <v>#DIV/0!</v>
      </c>
      <c r="R46" s="52">
        <f t="shared" si="6"/>
        <v>5</v>
      </c>
      <c r="S46" s="84">
        <f t="shared" si="7"/>
        <v>5</v>
      </c>
      <c r="T46" s="86"/>
    </row>
    <row r="47" spans="3:20" x14ac:dyDescent="0.35">
      <c r="C47" s="44">
        <v>37</v>
      </c>
      <c r="D47" s="44">
        <v>6</v>
      </c>
      <c r="E47" s="44">
        <f>HLOOKUP($D$5,'Table 37'!$B$3:$F$51,40,FALSE)</f>
        <v>330</v>
      </c>
      <c r="F47" s="79">
        <f t="shared" si="0"/>
        <v>0.38461538461538464</v>
      </c>
      <c r="G47" s="79">
        <f t="shared" si="4"/>
        <v>0</v>
      </c>
      <c r="H47" s="80">
        <f t="shared" si="1"/>
        <v>0</v>
      </c>
      <c r="I47" s="79">
        <f>(($I$22-$I$21)/($D$22-$D$21)*(D47-$D$21)+$I$21)</f>
        <v>0</v>
      </c>
      <c r="J47" s="79">
        <f>IF(G47&lt;(($I$22-$I$21)/($D$22-$D$21)*(D47-$D$21)+$I$21),G47,(($I$22-$I$21)/($D$22-$D$21)*(D47-$D$21)+$I$21))</f>
        <v>0</v>
      </c>
      <c r="K47" s="82">
        <f t="shared" si="2"/>
        <v>0</v>
      </c>
      <c r="L47" s="80">
        <f t="shared" si="5"/>
        <v>0</v>
      </c>
      <c r="M47" s="82" t="e">
        <f>((COPPL_c-COPPL_b)/($D$22-$D$21)*(D47-$D$21)+COPPL_b)</f>
        <v>#DIV/0!</v>
      </c>
      <c r="N47" s="80" t="e">
        <f t="shared" si="8"/>
        <v>#DIV/0!</v>
      </c>
      <c r="O47" s="51"/>
      <c r="P47" s="80">
        <f t="shared" si="3"/>
        <v>0</v>
      </c>
      <c r="Q47" s="80" t="e">
        <f t="shared" si="9"/>
        <v>#DIV/0!</v>
      </c>
      <c r="R47" s="52">
        <f t="shared" si="6"/>
        <v>6</v>
      </c>
      <c r="S47" s="84">
        <f t="shared" si="7"/>
        <v>6</v>
      </c>
      <c r="T47" s="86"/>
    </row>
    <row r="48" spans="3:20" x14ac:dyDescent="0.35">
      <c r="C48" s="44">
        <v>38</v>
      </c>
      <c r="D48" s="44">
        <v>7</v>
      </c>
      <c r="E48" s="44">
        <f>HLOOKUP($D$5,'Table 37'!$B$3:$F$51,41,FALSE)</f>
        <v>326</v>
      </c>
      <c r="F48" s="79">
        <f t="shared" si="0"/>
        <v>0.34615384615384615</v>
      </c>
      <c r="G48" s="79">
        <f t="shared" si="4"/>
        <v>0</v>
      </c>
      <c r="H48" s="80">
        <f t="shared" si="1"/>
        <v>0</v>
      </c>
      <c r="I48" s="81">
        <f>I22</f>
        <v>0</v>
      </c>
      <c r="J48" s="81">
        <f>IF(G48&lt;I22,G48,I22)</f>
        <v>0</v>
      </c>
      <c r="K48" s="82">
        <f t="shared" si="2"/>
        <v>0</v>
      </c>
      <c r="L48" s="80">
        <f t="shared" si="5"/>
        <v>0</v>
      </c>
      <c r="M48" s="83" t="e">
        <f>COPPL_c</f>
        <v>#DIV/0!</v>
      </c>
      <c r="N48" s="80" t="e">
        <f t="shared" si="8"/>
        <v>#DIV/0!</v>
      </c>
      <c r="O48" s="51"/>
      <c r="P48" s="80">
        <f t="shared" si="3"/>
        <v>0</v>
      </c>
      <c r="Q48" s="80" t="e">
        <f t="shared" si="9"/>
        <v>#DIV/0!</v>
      </c>
      <c r="R48" s="52">
        <f t="shared" si="6"/>
        <v>7</v>
      </c>
      <c r="S48" s="84">
        <f t="shared" si="7"/>
        <v>7</v>
      </c>
      <c r="T48" s="86"/>
    </row>
    <row r="49" spans="3:24" x14ac:dyDescent="0.35">
      <c r="C49" s="44">
        <v>39</v>
      </c>
      <c r="D49" s="44">
        <v>8</v>
      </c>
      <c r="E49" s="44">
        <f>HLOOKUP($D$5,'Table 37'!$B$3:$F$51,42,FALSE)</f>
        <v>348</v>
      </c>
      <c r="F49" s="79">
        <f t="shared" si="0"/>
        <v>0.30769230769230771</v>
      </c>
      <c r="G49" s="79">
        <f t="shared" si="4"/>
        <v>0</v>
      </c>
      <c r="H49" s="80">
        <f t="shared" si="1"/>
        <v>0</v>
      </c>
      <c r="I49" s="79">
        <f>(($I$23-$I$22)/($D$23-$D$22)*(D49-$D$22)+$I$22)</f>
        <v>0</v>
      </c>
      <c r="J49" s="79">
        <f>IF(G49&lt;(($I$23-$I$22)/($D$23-$D$22)*(D49-$D$22)+$I$22),G49,((($I$23-$I$22)/($D$23-$D$22)*(D49-$D$22)+$I$22)))</f>
        <v>0</v>
      </c>
      <c r="K49" s="82">
        <f t="shared" si="2"/>
        <v>0</v>
      </c>
      <c r="L49" s="80">
        <f t="shared" si="5"/>
        <v>0</v>
      </c>
      <c r="M49" s="82" t="e">
        <f>((COPPL_d-COPPL_c)/($D$23-$D$22)*(D49-$D$22)+COPPL_c)</f>
        <v>#DIV/0!</v>
      </c>
      <c r="N49" s="80" t="e">
        <f t="shared" si="8"/>
        <v>#DIV/0!</v>
      </c>
      <c r="O49" s="51"/>
      <c r="P49" s="80">
        <f t="shared" si="3"/>
        <v>0</v>
      </c>
      <c r="Q49" s="80" t="e">
        <f t="shared" si="9"/>
        <v>#DIV/0!</v>
      </c>
      <c r="R49" s="52">
        <f t="shared" si="6"/>
        <v>8</v>
      </c>
      <c r="S49" s="84">
        <f t="shared" si="7"/>
        <v>8</v>
      </c>
      <c r="T49" s="86"/>
    </row>
    <row r="50" spans="3:24" x14ac:dyDescent="0.35">
      <c r="C50" s="44">
        <v>40</v>
      </c>
      <c r="D50" s="44">
        <v>9</v>
      </c>
      <c r="E50" s="44">
        <f>HLOOKUP($D$5,'Table 37'!$B$3:$F$51,43,FALSE)</f>
        <v>335</v>
      </c>
      <c r="F50" s="79">
        <f t="shared" si="0"/>
        <v>0.26923076923076922</v>
      </c>
      <c r="G50" s="79">
        <f t="shared" si="4"/>
        <v>0</v>
      </c>
      <c r="H50" s="80">
        <f t="shared" si="1"/>
        <v>0</v>
      </c>
      <c r="I50" s="79">
        <f>(($I$23-$I$22)/($D$23-$D$22)*(D50-$D$22)+$I$22)</f>
        <v>0</v>
      </c>
      <c r="J50" s="79">
        <f>IF(G50&lt;(($I$23-$I$22)/($D$23-$D$22)*(D50-$D$22)+$I$22),G50,((($I$23-$I$22)/($D$23-$D$22)*(D50-$D$22)+$I$22)))</f>
        <v>0</v>
      </c>
      <c r="K50" s="82">
        <f t="shared" si="2"/>
        <v>0</v>
      </c>
      <c r="L50" s="80">
        <f t="shared" si="5"/>
        <v>0</v>
      </c>
      <c r="M50" s="82" t="e">
        <f>((COPPL_d-COPPL_c)/($D$23-$D$22)*(D50-$D$22)+COPPL_c)</f>
        <v>#DIV/0!</v>
      </c>
      <c r="N50" s="80" t="e">
        <f t="shared" si="8"/>
        <v>#DIV/0!</v>
      </c>
      <c r="O50" s="51"/>
      <c r="P50" s="80">
        <f t="shared" si="3"/>
        <v>0</v>
      </c>
      <c r="Q50" s="80" t="e">
        <f t="shared" si="9"/>
        <v>#DIV/0!</v>
      </c>
      <c r="R50" s="52">
        <f t="shared" si="6"/>
        <v>9</v>
      </c>
      <c r="S50" s="84">
        <f t="shared" si="7"/>
        <v>9</v>
      </c>
      <c r="T50" s="86"/>
    </row>
    <row r="51" spans="3:24" x14ac:dyDescent="0.35">
      <c r="C51" s="44">
        <v>41</v>
      </c>
      <c r="D51" s="44">
        <v>10</v>
      </c>
      <c r="E51" s="44">
        <f>HLOOKUP($D$5,'Table 37'!$B$3:$F$51,44,FALSE)</f>
        <v>315</v>
      </c>
      <c r="F51" s="79">
        <f t="shared" si="0"/>
        <v>0.23076923076923078</v>
      </c>
      <c r="G51" s="79">
        <f t="shared" si="4"/>
        <v>0</v>
      </c>
      <c r="H51" s="80">
        <f t="shared" si="1"/>
        <v>0</v>
      </c>
      <c r="I51" s="79">
        <f>(($I$23-$I$22)/($D$23-$D$22)*(D51-$D$22)+$I$22)</f>
        <v>0</v>
      </c>
      <c r="J51" s="79">
        <f>IF(G51&lt;(($I$23-$I$22)/($D$23-$D$22)*(D51-$D$22)+$I$22),G51,((($I$23-$I$22)/($D$23-$D$22)*(D51-$D$22)+$I$22)))</f>
        <v>0</v>
      </c>
      <c r="K51" s="82">
        <f t="shared" si="2"/>
        <v>0</v>
      </c>
      <c r="L51" s="80">
        <f t="shared" si="5"/>
        <v>0</v>
      </c>
      <c r="M51" s="82" t="e">
        <f>((COPPL_d-COPPL_c)/($D$23-$D$22)*(D51-$D$22)+COPPL_c)</f>
        <v>#DIV/0!</v>
      </c>
      <c r="N51" s="80" t="e">
        <f t="shared" si="8"/>
        <v>#DIV/0!</v>
      </c>
      <c r="O51" s="51"/>
      <c r="P51" s="80">
        <f t="shared" si="3"/>
        <v>0</v>
      </c>
      <c r="Q51" s="80" t="e">
        <f t="shared" si="9"/>
        <v>#DIV/0!</v>
      </c>
      <c r="R51" s="52">
        <f t="shared" si="6"/>
        <v>10</v>
      </c>
      <c r="S51" s="84">
        <f t="shared" si="7"/>
        <v>10</v>
      </c>
      <c r="T51" s="86"/>
    </row>
    <row r="52" spans="3:24" x14ac:dyDescent="0.35">
      <c r="C52" s="44">
        <v>42</v>
      </c>
      <c r="D52" s="44">
        <v>11</v>
      </c>
      <c r="E52" s="44">
        <f>HLOOKUP($D$5,'Table 37'!$B$3:$F$51,45,FALSE)</f>
        <v>215</v>
      </c>
      <c r="F52" s="79">
        <f t="shared" si="0"/>
        <v>0.19230769230769232</v>
      </c>
      <c r="G52" s="79">
        <f t="shared" si="4"/>
        <v>0</v>
      </c>
      <c r="H52" s="80">
        <f t="shared" si="1"/>
        <v>0</v>
      </c>
      <c r="I52" s="79">
        <f>(($I$23-$I$22)/($D$23-$D$22)*(D52-$D$22)+$I$22)</f>
        <v>0</v>
      </c>
      <c r="J52" s="79">
        <f>IF(G52&lt;(($I$23-$I$22)/($D$23-$D$22)*(D52-$D$22)+$I$22),G52,((($I$23-$I$22)/($D$23-$D$22)*(D52-$D$22)+$I$22)))</f>
        <v>0</v>
      </c>
      <c r="K52" s="82">
        <f t="shared" si="2"/>
        <v>0</v>
      </c>
      <c r="L52" s="80">
        <f t="shared" si="5"/>
        <v>0</v>
      </c>
      <c r="M52" s="82" t="e">
        <f>((COPPL_d-COPPL_c)/($D$23-$D$22)*(D52-$D$22)+COPPL_c)</f>
        <v>#DIV/0!</v>
      </c>
      <c r="N52" s="80" t="e">
        <f t="shared" si="8"/>
        <v>#DIV/0!</v>
      </c>
      <c r="O52" s="51"/>
      <c r="P52" s="80">
        <f t="shared" si="3"/>
        <v>0</v>
      </c>
      <c r="Q52" s="80" t="e">
        <f t="shared" si="9"/>
        <v>#DIV/0!</v>
      </c>
      <c r="R52" s="52">
        <f t="shared" si="6"/>
        <v>11</v>
      </c>
      <c r="S52" s="84">
        <f t="shared" si="7"/>
        <v>11</v>
      </c>
      <c r="T52" s="86"/>
    </row>
    <row r="53" spans="3:24" x14ac:dyDescent="0.35">
      <c r="C53" s="44">
        <v>43</v>
      </c>
      <c r="D53" s="44">
        <v>12</v>
      </c>
      <c r="E53" s="44">
        <f>HLOOKUP($D$5,'Table 37'!$B$3:$F$51,46,FALSE)</f>
        <v>169</v>
      </c>
      <c r="F53" s="79">
        <f t="shared" si="0"/>
        <v>0.15384615384615385</v>
      </c>
      <c r="G53" s="79">
        <f t="shared" si="4"/>
        <v>0</v>
      </c>
      <c r="H53" s="80">
        <f t="shared" si="1"/>
        <v>0</v>
      </c>
      <c r="I53" s="81">
        <f>I23</f>
        <v>0</v>
      </c>
      <c r="J53" s="81">
        <f>IF(G53&lt;I23,G53,I23)</f>
        <v>0</v>
      </c>
      <c r="K53" s="82">
        <f t="shared" si="2"/>
        <v>0</v>
      </c>
      <c r="L53" s="80">
        <f t="shared" si="5"/>
        <v>0</v>
      </c>
      <c r="M53" s="83" t="e">
        <f>COPPL_d</f>
        <v>#DIV/0!</v>
      </c>
      <c r="N53" s="80" t="e">
        <f t="shared" si="8"/>
        <v>#DIV/0!</v>
      </c>
      <c r="O53" s="51"/>
      <c r="P53" s="80">
        <f t="shared" si="3"/>
        <v>0</v>
      </c>
      <c r="Q53" s="80" t="e">
        <f t="shared" si="9"/>
        <v>#DIV/0!</v>
      </c>
      <c r="R53" s="52">
        <f t="shared" si="6"/>
        <v>12</v>
      </c>
      <c r="S53" s="84">
        <f t="shared" si="7"/>
        <v>12</v>
      </c>
      <c r="T53" s="86"/>
    </row>
    <row r="54" spans="3:24" x14ac:dyDescent="0.35">
      <c r="C54" s="44">
        <v>44</v>
      </c>
      <c r="D54" s="44">
        <v>13</v>
      </c>
      <c r="E54" s="44">
        <f>HLOOKUP($D$5,'Table 37'!$B$3:$F$51,47,FALSE)</f>
        <v>151</v>
      </c>
      <c r="F54" s="79">
        <f t="shared" si="0"/>
        <v>0.11538461538461539</v>
      </c>
      <c r="G54" s="79">
        <f t="shared" si="4"/>
        <v>0</v>
      </c>
      <c r="H54" s="80">
        <f t="shared" si="1"/>
        <v>0</v>
      </c>
      <c r="I54" s="79">
        <f>(($I$23-$I$22)/($D$23-$D$22)*(D54-$D$22)+$I$22)</f>
        <v>0</v>
      </c>
      <c r="J54" s="79">
        <f>IF(G54&lt;(($I$23-$I$22)/($D$23-$D$22)*(D54-$D$22)+$I$22),G54,((($I$23-$I$22)/($D$23-$D$22)*(D54-$D$22)+$I$22)))</f>
        <v>0</v>
      </c>
      <c r="K54" s="82">
        <f t="shared" si="2"/>
        <v>0</v>
      </c>
      <c r="L54" s="80">
        <f t="shared" si="5"/>
        <v>0</v>
      </c>
      <c r="M54" s="82" t="e">
        <f>((COPPL_d-COPPL_c)/($D$23-$D$22)*(D54-$D$22)+COPPL_c)</f>
        <v>#DIV/0!</v>
      </c>
      <c r="N54" s="80" t="e">
        <f t="shared" si="8"/>
        <v>#DIV/0!</v>
      </c>
      <c r="O54" s="51"/>
      <c r="P54" s="80">
        <f t="shared" si="3"/>
        <v>0</v>
      </c>
      <c r="Q54" s="80" t="e">
        <f t="shared" si="9"/>
        <v>#DIV/0!</v>
      </c>
      <c r="R54" s="52">
        <f t="shared" si="6"/>
        <v>13</v>
      </c>
      <c r="S54" s="84">
        <f t="shared" si="7"/>
        <v>13</v>
      </c>
      <c r="T54" s="86"/>
    </row>
    <row r="55" spans="3:24" x14ac:dyDescent="0.35">
      <c r="C55" s="44">
        <v>45</v>
      </c>
      <c r="D55" s="44">
        <v>14</v>
      </c>
      <c r="E55" s="44">
        <f>HLOOKUP($D$5,'Table 37'!$B$3:$F$51,48,FALSE)</f>
        <v>105</v>
      </c>
      <c r="F55" s="79">
        <f t="shared" si="0"/>
        <v>7.6923076923076927E-2</v>
      </c>
      <c r="G55" s="79">
        <f t="shared" si="4"/>
        <v>0</v>
      </c>
      <c r="H55" s="80">
        <f t="shared" si="1"/>
        <v>0</v>
      </c>
      <c r="I55" s="79">
        <f>(($I$23-$I$22)/($D$23-$D$22)*(D55-$D$22)+$I$22)</f>
        <v>0</v>
      </c>
      <c r="J55" s="79">
        <f>IF(G55&lt;(($I$23-$I$22)/($D$23-$D$22)*(D55-$D$22)+$I$22),G55,((($I$23-$I$22)/($D$23-$D$22)*(D55-$D$22)+$I$22)))</f>
        <v>0</v>
      </c>
      <c r="K55" s="82">
        <f t="shared" si="2"/>
        <v>0</v>
      </c>
      <c r="L55" s="80">
        <f t="shared" si="5"/>
        <v>0</v>
      </c>
      <c r="M55" s="82" t="e">
        <f>((COPPL_d-COPPL_c)/($D$23-$D$22)*(D55-$D$22)+COPPL_c)</f>
        <v>#DIV/0!</v>
      </c>
      <c r="N55" s="80" t="e">
        <f t="shared" si="8"/>
        <v>#DIV/0!</v>
      </c>
      <c r="O55" s="51"/>
      <c r="P55" s="80">
        <f t="shared" si="3"/>
        <v>0</v>
      </c>
      <c r="Q55" s="80" t="e">
        <f t="shared" si="9"/>
        <v>#DIV/0!</v>
      </c>
      <c r="R55" s="52">
        <f t="shared" si="6"/>
        <v>14</v>
      </c>
      <c r="S55" s="84">
        <f t="shared" si="7"/>
        <v>14</v>
      </c>
      <c r="T55" s="86"/>
    </row>
    <row r="56" spans="3:24" x14ac:dyDescent="0.35">
      <c r="C56" s="44">
        <v>46</v>
      </c>
      <c r="D56" s="44">
        <v>15</v>
      </c>
      <c r="E56" s="44">
        <f>HLOOKUP($D$5,'Table 37'!$B$3:$F$51,49,FALSE)</f>
        <v>74</v>
      </c>
      <c r="F56" s="79">
        <f t="shared" si="0"/>
        <v>3.8461538461538464E-2</v>
      </c>
      <c r="G56" s="79">
        <f t="shared" si="4"/>
        <v>0</v>
      </c>
      <c r="H56" s="80">
        <f t="shared" si="1"/>
        <v>0</v>
      </c>
      <c r="I56" s="79">
        <f>(($I$23-$I$22)/($D$23-$D$22)*(D56-$D$22)+$I$22)</f>
        <v>0</v>
      </c>
      <c r="J56" s="79">
        <f>IF(G56&lt;(($I$23-$I$22)/($D$23-$D$22)*(D56-$D$22)+$I$22),G56,((($I$23-$I$22)/($D$23-$D$22)*(D56-$D$22)+$I$22)))</f>
        <v>0</v>
      </c>
      <c r="K56" s="82">
        <f t="shared" si="2"/>
        <v>0</v>
      </c>
      <c r="L56" s="80">
        <f t="shared" si="5"/>
        <v>0</v>
      </c>
      <c r="M56" s="82" t="e">
        <f>((COPPL_d-COPPL_c)/($D$23-$D$22)*(D56-$D$22)+COPPL_c)</f>
        <v>#DIV/0!</v>
      </c>
      <c r="N56" s="80" t="e">
        <f t="shared" si="8"/>
        <v>#DIV/0!</v>
      </c>
      <c r="O56" s="51"/>
      <c r="P56" s="80">
        <f t="shared" si="3"/>
        <v>0</v>
      </c>
      <c r="Q56" s="80" t="e">
        <f t="shared" si="9"/>
        <v>#DIV/0!</v>
      </c>
      <c r="R56" s="52">
        <f t="shared" si="6"/>
        <v>15</v>
      </c>
      <c r="S56" s="84">
        <f t="shared" si="7"/>
        <v>15</v>
      </c>
      <c r="T56" s="86"/>
    </row>
    <row r="57" spans="3:24" ht="15" thickBot="1" x14ac:dyDescent="0.4">
      <c r="E57" s="39">
        <f>SUM(E31:E56)</f>
        <v>4910</v>
      </c>
      <c r="H57" s="51">
        <f>SUM(H31:H56)</f>
        <v>0</v>
      </c>
      <c r="L57" s="51">
        <f>SUM(L31:L56)</f>
        <v>0</v>
      </c>
      <c r="N57" s="51" t="e">
        <f>SUM(N31:N56)</f>
        <v>#DIV/0!</v>
      </c>
      <c r="P57" s="51">
        <f>SUM(P31:P56)</f>
        <v>0</v>
      </c>
      <c r="Q57" s="51" t="e">
        <f>SUM(Q31:Q56)</f>
        <v>#DIV/0!</v>
      </c>
    </row>
    <row r="58" spans="3:24" ht="17" thickBot="1" x14ac:dyDescent="0.5">
      <c r="M58" s="77" t="s">
        <v>45</v>
      </c>
      <c r="N58" s="87" t="e">
        <f>H57/N57</f>
        <v>#DIV/0!</v>
      </c>
      <c r="P58" s="77" t="s">
        <v>57</v>
      </c>
      <c r="Q58" s="78" t="e">
        <f>P57/Q57</f>
        <v>#DIV/0!</v>
      </c>
    </row>
    <row r="60" spans="3:24" x14ac:dyDescent="0.35">
      <c r="U60" s="38"/>
      <c r="V60" s="38"/>
      <c r="W60" s="38"/>
      <c r="X60" s="38"/>
    </row>
  </sheetData>
  <scenarios current="0" show="0">
    <scenario name="Maximum SCOP_Pdesignh" locked="1" count="1" user="John Davies" comment="Created by John Davies on 22/10/2014_x000a_Modified by John Davies on 22/10/2014">
      <inputCells r="D3" val="14.5"/>
    </scenario>
  </scenarios>
  <dataConsolidate/>
  <conditionalFormatting sqref="P1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28">
      <colorScale>
        <cfvo type="num" val="30"/>
        <cfvo type="num" val="80"/>
        <cfvo type="num" val="150"/>
        <color rgb="FFF8696B"/>
        <color rgb="FFFFEB84"/>
        <color rgb="FF63BE7B"/>
      </colorScale>
    </cfRule>
  </conditionalFormatting>
  <conditionalFormatting sqref="Q19">
    <cfRule type="colorScale" priority="29">
      <colorScale>
        <cfvo type="num" val="30"/>
        <cfvo type="percentile" val="60"/>
        <cfvo type="num" val="150"/>
        <color rgb="FFF8696B"/>
        <color rgb="FFFFEB84"/>
        <color rgb="FF63BE7B"/>
      </colorScale>
    </cfRule>
  </conditionalFormatting>
  <dataValidations disablePrompts="1" count="1">
    <dataValidation type="list" allowBlank="1" showInputMessage="1" showErrorMessage="1" sqref="D13" xr:uid="{00000000-0002-0000-0300-000000000000}">
      <formula1>$H$10:$H$12</formula1>
    </dataValidation>
  </dataValidations>
  <printOptions headings="1"/>
  <pageMargins left="0.25" right="0.25" top="0.75" bottom="0.75" header="0.3" footer="0.3"/>
  <pageSetup paperSize="9" scale="30" orientation="landscape" r:id="rId1"/>
  <ignoredErrors>
    <ignoredError sqref="J53 M5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 tint="-0.249977111117893"/>
    <pageSetUpPr fitToPage="1"/>
  </sheetPr>
  <dimension ref="A3:X60"/>
  <sheetViews>
    <sheetView zoomScale="80" zoomScaleNormal="80" workbookViewId="0">
      <selection activeCell="H20" sqref="H20"/>
    </sheetView>
  </sheetViews>
  <sheetFormatPr defaultColWidth="9.1796875" defaultRowHeight="14.5" x14ac:dyDescent="0.35"/>
  <cols>
    <col min="1" max="2" width="3.81640625" style="38" customWidth="1"/>
    <col min="3" max="3" width="30.453125" style="38" customWidth="1"/>
    <col min="4" max="4" width="16.81640625" style="38" customWidth="1"/>
    <col min="5" max="5" width="15.81640625" style="38" bestFit="1" customWidth="1"/>
    <col min="6" max="6" width="18.7265625" style="38" bestFit="1" customWidth="1"/>
    <col min="7" max="7" width="11.7265625" style="38" customWidth="1"/>
    <col min="8" max="8" width="14.453125" style="38" customWidth="1"/>
    <col min="9" max="9" width="23.453125" style="38" customWidth="1"/>
    <col min="10" max="10" width="19.453125" style="38" bestFit="1" customWidth="1"/>
    <col min="11" max="11" width="25.81640625" style="38" bestFit="1" customWidth="1"/>
    <col min="12" max="12" width="18.453125" style="38" customWidth="1"/>
    <col min="13" max="13" width="17" style="38" bestFit="1" customWidth="1"/>
    <col min="14" max="14" width="36.26953125" style="38" bestFit="1" customWidth="1"/>
    <col min="15" max="15" width="4" style="38" customWidth="1"/>
    <col min="16" max="16" width="43" style="38" customWidth="1"/>
    <col min="17" max="17" width="28.453125" style="38" customWidth="1"/>
    <col min="18" max="18" width="6.54296875" style="38" bestFit="1" customWidth="1"/>
    <col min="19" max="19" width="4.81640625" style="38" bestFit="1" customWidth="1"/>
    <col min="20" max="20" width="24.26953125" style="38" customWidth="1"/>
    <col min="21" max="21" width="24.1796875" style="39" customWidth="1"/>
    <col min="22" max="22" width="25.54296875" style="39" bestFit="1" customWidth="1"/>
    <col min="23" max="24" width="24.1796875" style="39" customWidth="1"/>
    <col min="25" max="25" width="8.26953125" style="38" customWidth="1"/>
    <col min="26" max="16384" width="9.1796875" style="38"/>
  </cols>
  <sheetData>
    <row r="3" spans="1:24" ht="18.5" x14ac:dyDescent="0.45">
      <c r="D3" s="40"/>
    </row>
    <row r="4" spans="1:24" ht="18.5" x14ac:dyDescent="0.45">
      <c r="C4" s="41" t="s">
        <v>104</v>
      </c>
    </row>
    <row r="5" spans="1:24" ht="16.5" x14ac:dyDescent="0.45">
      <c r="A5" s="42"/>
      <c r="C5" s="43" t="s">
        <v>24</v>
      </c>
      <c r="D5" s="44" t="s">
        <v>9</v>
      </c>
      <c r="J5" s="38" t="s">
        <v>146</v>
      </c>
      <c r="K5" s="39"/>
      <c r="L5" s="39"/>
      <c r="M5" s="39"/>
      <c r="P5" s="38" t="s">
        <v>63</v>
      </c>
      <c r="Q5" s="45">
        <f>'ErP Inputs'!$D$36</f>
        <v>1.2999999999999999E-2</v>
      </c>
      <c r="R5" s="38" t="s">
        <v>21</v>
      </c>
      <c r="U5" s="38"/>
      <c r="V5" s="38"/>
      <c r="W5" s="38"/>
      <c r="X5" s="38"/>
    </row>
    <row r="6" spans="1:24" ht="17.5" x14ac:dyDescent="0.45">
      <c r="A6" s="42"/>
      <c r="C6" s="43" t="s">
        <v>19</v>
      </c>
      <c r="D6" s="44">
        <v>-10</v>
      </c>
      <c r="E6" s="38" t="s">
        <v>20</v>
      </c>
      <c r="J6" s="46" t="s">
        <v>68</v>
      </c>
      <c r="K6" s="46" t="s">
        <v>65</v>
      </c>
      <c r="L6" s="46" t="s">
        <v>66</v>
      </c>
      <c r="M6" s="46" t="s">
        <v>67</v>
      </c>
      <c r="N6" s="46" t="s">
        <v>145</v>
      </c>
      <c r="P6" s="38" t="s">
        <v>64</v>
      </c>
      <c r="Q6" s="45">
        <f>'ErP Inputs'!$D$37</f>
        <v>0</v>
      </c>
      <c r="R6" s="38" t="s">
        <v>21</v>
      </c>
      <c r="U6" s="38"/>
      <c r="V6" s="38"/>
      <c r="W6" s="38"/>
      <c r="X6" s="38"/>
    </row>
    <row r="7" spans="1:24" ht="16.5" x14ac:dyDescent="0.45">
      <c r="A7" s="42"/>
      <c r="C7" s="43" t="s">
        <v>25</v>
      </c>
      <c r="D7" s="47">
        <f>IF('ErP Inputs'!I16="",('ErP Inputs'!G16+'ErP Inputs'!K16)/2,'ErP Inputs'!I16)</f>
        <v>0</v>
      </c>
      <c r="E7" s="38" t="s">
        <v>21</v>
      </c>
      <c r="I7" s="48" t="s">
        <v>62</v>
      </c>
      <c r="J7" s="49">
        <v>2066</v>
      </c>
      <c r="K7" s="44">
        <v>178</v>
      </c>
      <c r="L7" s="44">
        <v>0</v>
      </c>
      <c r="M7" s="44">
        <v>3672</v>
      </c>
      <c r="N7" s="44">
        <v>3850</v>
      </c>
      <c r="P7" s="38" t="s">
        <v>147</v>
      </c>
      <c r="Q7" s="45">
        <f>'ErP Inputs'!$D$38</f>
        <v>0</v>
      </c>
      <c r="R7" s="38" t="s">
        <v>21</v>
      </c>
      <c r="U7" s="38"/>
      <c r="V7" s="38"/>
      <c r="W7" s="38"/>
      <c r="X7" s="38"/>
    </row>
    <row r="8" spans="1:24" ht="20.5" x14ac:dyDescent="0.55000000000000004">
      <c r="A8" s="42"/>
      <c r="D8" s="39"/>
      <c r="J8" s="39"/>
      <c r="K8" s="39"/>
      <c r="L8" s="39"/>
      <c r="M8" s="39"/>
      <c r="P8" s="50" t="s">
        <v>105</v>
      </c>
      <c r="Q8" s="51">
        <f>D7*J7</f>
        <v>0</v>
      </c>
      <c r="U8" s="38"/>
      <c r="V8" s="38"/>
      <c r="W8" s="38"/>
      <c r="X8" s="38"/>
    </row>
    <row r="9" spans="1:24" ht="20.5" x14ac:dyDescent="0.55000000000000004">
      <c r="A9" s="52"/>
      <c r="B9" s="52"/>
      <c r="C9" s="53"/>
      <c r="D9" s="54"/>
      <c r="J9" s="39"/>
      <c r="K9" s="39"/>
      <c r="L9" s="39"/>
      <c r="M9" s="39"/>
      <c r="P9" s="55" t="s">
        <v>106</v>
      </c>
      <c r="Q9" s="51" t="e">
        <f>Q8/N27+(K7*Q5)+(M7*Q6)+(N7*Q7)</f>
        <v>#DIV/0!</v>
      </c>
      <c r="U9" s="38"/>
      <c r="V9" s="38"/>
      <c r="W9" s="38"/>
      <c r="X9" s="38"/>
    </row>
    <row r="10" spans="1:24" ht="15" thickBot="1" x14ac:dyDescent="0.4">
      <c r="A10" s="52"/>
      <c r="B10" s="52"/>
      <c r="D10" s="39"/>
    </row>
    <row r="11" spans="1:24" ht="21.5" thickBot="1" x14ac:dyDescent="0.55000000000000004">
      <c r="A11" s="52"/>
      <c r="B11" s="52"/>
      <c r="C11" s="56" t="str">
        <f>'ErP Inputs'!D4</f>
        <v>Air Source</v>
      </c>
      <c r="D11" s="39"/>
      <c r="P11" s="57" t="s">
        <v>61</v>
      </c>
      <c r="Q11" s="58" t="e">
        <f>Q8/Q9</f>
        <v>#DIV/0!</v>
      </c>
    </row>
    <row r="12" spans="1:24" ht="21" x14ac:dyDescent="0.5">
      <c r="A12" s="52"/>
      <c r="B12" s="52"/>
      <c r="C12" s="56" t="str">
        <f>'ErP Inputs'!D5</f>
        <v>Variable Outlet</v>
      </c>
      <c r="P12" s="38" t="s">
        <v>70</v>
      </c>
      <c r="Q12" s="39">
        <v>2.5</v>
      </c>
    </row>
    <row r="13" spans="1:24" x14ac:dyDescent="0.35">
      <c r="A13" s="52"/>
      <c r="B13" s="52"/>
      <c r="C13" s="59"/>
      <c r="D13" s="60"/>
      <c r="G13" s="61"/>
      <c r="I13" s="39"/>
      <c r="P13" s="38" t="s">
        <v>72</v>
      </c>
      <c r="Q13" s="39">
        <v>3</v>
      </c>
      <c r="R13" s="38" t="s">
        <v>28</v>
      </c>
    </row>
    <row r="14" spans="1:24" x14ac:dyDescent="0.35">
      <c r="A14" s="52"/>
      <c r="B14" s="52"/>
      <c r="C14" s="62" t="s">
        <v>23</v>
      </c>
      <c r="D14" s="63"/>
      <c r="E14" s="63"/>
      <c r="F14" s="64" t="str">
        <f>IF(D5="Average","(Tj-16) / (-10-16) %",IF(D5="Warmer","(Tj-16) / (+2-16) %","(Tj-16) / (-22-16) %"))</f>
        <v>(Tj-16) / (-10-16) %</v>
      </c>
      <c r="G14" s="65"/>
      <c r="I14" s="39"/>
      <c r="P14" s="38" t="s">
        <v>118</v>
      </c>
      <c r="Q14" s="39">
        <f>IF(C11="Ground Source",5,0)</f>
        <v>0</v>
      </c>
      <c r="R14" s="38" t="s">
        <v>28</v>
      </c>
    </row>
    <row r="15" spans="1:24" x14ac:dyDescent="0.35">
      <c r="I15" s="66"/>
      <c r="J15" s="66"/>
      <c r="P15" s="38" t="s">
        <v>189</v>
      </c>
      <c r="Q15" s="39">
        <f>Q13+Q14</f>
        <v>3</v>
      </c>
      <c r="R15" s="38" t="s">
        <v>28</v>
      </c>
    </row>
    <row r="16" spans="1:24" ht="15" thickBot="1" x14ac:dyDescent="0.4">
      <c r="A16" s="52"/>
      <c r="B16" s="52"/>
    </row>
    <row r="17" spans="1:19" ht="41.25" customHeight="1" thickBot="1" x14ac:dyDescent="0.4">
      <c r="A17" s="52"/>
      <c r="B17" s="52"/>
      <c r="C17" s="46" t="s">
        <v>27</v>
      </c>
      <c r="D17" s="67" t="s">
        <v>167</v>
      </c>
      <c r="E17" s="67" t="s">
        <v>168</v>
      </c>
      <c r="F17" s="67" t="s">
        <v>26</v>
      </c>
      <c r="G17" s="67" t="s">
        <v>23</v>
      </c>
      <c r="H17" s="67" t="s">
        <v>29</v>
      </c>
      <c r="I17" s="67" t="s">
        <v>30</v>
      </c>
      <c r="J17" s="67" t="s">
        <v>31</v>
      </c>
      <c r="K17" s="67" t="s">
        <v>102</v>
      </c>
      <c r="L17" s="67" t="s">
        <v>103</v>
      </c>
      <c r="M17" s="67" t="s">
        <v>39</v>
      </c>
      <c r="N17" s="67" t="s">
        <v>33</v>
      </c>
      <c r="P17" s="57" t="s">
        <v>69</v>
      </c>
      <c r="Q17" s="68" t="e">
        <f>(100/Q12)*Q11-Q15</f>
        <v>#DIV/0!</v>
      </c>
    </row>
    <row r="18" spans="1:19" ht="17" thickBot="1" x14ac:dyDescent="0.5">
      <c r="C18" s="48"/>
      <c r="D18" s="48"/>
      <c r="E18" s="48"/>
      <c r="F18" s="48"/>
      <c r="G18" s="46" t="s">
        <v>28</v>
      </c>
      <c r="H18" s="46" t="s">
        <v>21</v>
      </c>
      <c r="I18" s="46" t="s">
        <v>21</v>
      </c>
      <c r="J18" s="46" t="s">
        <v>32</v>
      </c>
      <c r="K18" s="46" t="s">
        <v>100</v>
      </c>
      <c r="L18" s="46" t="s">
        <v>101</v>
      </c>
      <c r="M18" s="46"/>
      <c r="N18" s="46" t="s">
        <v>34</v>
      </c>
    </row>
    <row r="19" spans="1:19" ht="31.5" thickBot="1" x14ac:dyDescent="0.75">
      <c r="C19" s="43"/>
      <c r="D19" s="44">
        <v>-15</v>
      </c>
      <c r="E19" s="69" t="str">
        <f>IF($D$5="Average","Not Applicable",IF($D$5="Warmer","Not Applicable",IF($D$5="Colder",(minus15-16)/(Tdesignh-16),"Check Value")))</f>
        <v>Not Applicable</v>
      </c>
      <c r="F19" s="69" t="str">
        <f>IF($D$5="Average","Not Applicable",IF($D$5="Warmer","Not Applicable",IF($D$5="Colder",(minus15-16)/(Tdesignh-16),"Check Value")))</f>
        <v>Not Applicable</v>
      </c>
      <c r="G19" s="69"/>
      <c r="H19" s="44"/>
      <c r="I19" s="44"/>
      <c r="J19" s="44"/>
      <c r="K19" s="44"/>
      <c r="L19" s="44"/>
      <c r="M19" s="44"/>
      <c r="N19" s="44"/>
      <c r="P19" s="57" t="s">
        <v>71</v>
      </c>
      <c r="Q19" s="70" t="e">
        <f>IF('ErP Inputs'!D8="Low Temperature Heat Pump",IF(Q17&gt;=150,"A++",IF(AND(Q17&lt;150,Q17&gt;=123),"A+",IF(AND(Q17&lt;123,Q17&gt;=115),"A",IF(AND(Q17&lt;115,Q17&gt;=107),"B",IF(AND(Q17&lt;107,Q17&gt;=100),"C",IF(AND(Q17&lt;100,Q17&gt;=61),"D",IF(AND(Q17&lt;61,Q17&gt;=59),"E",IF(AND(Q17&lt;59,Q17&gt;=55),"F","G")))))))),IF(Q17&gt;=125,"A++",IF(AND(Q17&lt;125,Q17&gt;=98),"A+",IF(AND(Q17&lt;98,Q17&gt;=90),"A",IF(AND(Q17&lt;90,Q17&gt;=82),"B",IF(AND(Q17&lt;82,Q17&gt;=75),"C",IF(AND(Q17&lt;75,Q17&gt;=36),"D",IF(AND(Q17&lt;36,Q17&gt;=34),"E",IF(AND(Q17&lt;34,Q17&gt;=30),"F","G")))))))))</f>
        <v>#DIV/0!</v>
      </c>
    </row>
    <row r="20" spans="1:19" ht="15" thickBot="1" x14ac:dyDescent="0.4">
      <c r="C20" s="71" t="s">
        <v>15</v>
      </c>
      <c r="D20" s="71">
        <v>-7</v>
      </c>
      <c r="E20" s="44">
        <f>IF('ErP Inputs'!D4="Ground Source",0,IF('ErP Inputs'!D4="Air Source",-7,10))</f>
        <v>-7</v>
      </c>
      <c r="F20" s="71">
        <f>'ErP Inputs'!F41</f>
        <v>43</v>
      </c>
      <c r="G20" s="72">
        <f>(D20-16)/(Tdesignh-16)</f>
        <v>0.88461538461538458</v>
      </c>
      <c r="H20" s="47">
        <f>G20*$D$7</f>
        <v>0</v>
      </c>
      <c r="I20" s="47">
        <f>IF('ErP Inputs'!E42="",'ErP Inputs'!E20,'ErP Inputs'!E42)</f>
        <v>0</v>
      </c>
      <c r="J20" s="47">
        <f>IF('ErP Inputs'!E43="",(('HIGH SCOP'!J20-'LOW SCOP'!J20)*0.5+'LOW SCOP'!J20),'ErP Inputs'!E43)</f>
        <v>0</v>
      </c>
      <c r="K20" s="47">
        <f>IF('ErP Inputs'!E44="",0.9,'ErP Inputs'!E44)</f>
        <v>0.9</v>
      </c>
      <c r="L20" s="47" t="e">
        <f>IF(I20&lt;H20,1,H20/I20)</f>
        <v>#DIV/0!</v>
      </c>
      <c r="M20" s="47" t="e">
        <f>L20/(K20*L20+(1-K20))</f>
        <v>#DIV/0!</v>
      </c>
      <c r="N20" s="47" t="e">
        <f>IF(L20=1,J20,J20*L20/(K20*L20+(1-K20)))</f>
        <v>#DIV/0!</v>
      </c>
    </row>
    <row r="21" spans="1:19" ht="17" thickBot="1" x14ac:dyDescent="0.4">
      <c r="C21" s="71" t="s">
        <v>16</v>
      </c>
      <c r="D21" s="71">
        <v>2</v>
      </c>
      <c r="E21" s="44">
        <f>IF('ErP Inputs'!D4="Ground Source",0,IF('ErP Inputs'!D4="Air Source",2,10))</f>
        <v>2</v>
      </c>
      <c r="F21" s="71">
        <f>'ErP Inputs'!H41</f>
        <v>37</v>
      </c>
      <c r="G21" s="72">
        <f>(D21-16)/(Tdesignh-16)</f>
        <v>0.53846153846153844</v>
      </c>
      <c r="H21" s="47">
        <f t="shared" ref="H21:H24" si="0">G21*$D$7</f>
        <v>0</v>
      </c>
      <c r="I21" s="47">
        <f>IF('ErP Inputs'!G42="",'ErP Inputs'!G20,'ErP Inputs'!G42)</f>
        <v>0</v>
      </c>
      <c r="J21" s="47">
        <f>IF('ErP Inputs'!G43="",(('HIGH SCOP'!J21-'LOW SCOP'!J21)*0.5+'LOW SCOP'!J21),'ErP Inputs'!G43)</f>
        <v>0</v>
      </c>
      <c r="K21" s="47">
        <f>IF('ErP Inputs'!G44=0,0.9,'ErP Inputs'!G44)</f>
        <v>0.9</v>
      </c>
      <c r="L21" s="47" t="e">
        <f t="shared" ref="L21:L24" si="1">IF(I21&lt;H21,1,H21/I21)</f>
        <v>#DIV/0!</v>
      </c>
      <c r="M21" s="47" t="e">
        <f t="shared" ref="M21:M24" si="2">L21/(K21*L21+(1-K21))</f>
        <v>#DIV/0!</v>
      </c>
      <c r="N21" s="47" t="e">
        <f t="shared" ref="N21:N24" si="3">IF(L21=1,J21,J21*L21/(K21*L21+(1-K21)))</f>
        <v>#DIV/0!</v>
      </c>
      <c r="P21" s="57" t="s">
        <v>190</v>
      </c>
      <c r="Q21" s="73" t="str">
        <f>IF(Q22=FALSE,MIN(S31:S56),"N/A")</f>
        <v>N/A</v>
      </c>
      <c r="R21" s="38" t="s">
        <v>20</v>
      </c>
    </row>
    <row r="22" spans="1:19" x14ac:dyDescent="0.35">
      <c r="C22" s="71" t="s">
        <v>17</v>
      </c>
      <c r="D22" s="71">
        <v>7</v>
      </c>
      <c r="E22" s="44">
        <f>IF('ErP Inputs'!D4="Ground Source",0,IF('ErP Inputs'!D4="Air Source",7,10))</f>
        <v>7</v>
      </c>
      <c r="F22" s="71">
        <f>'ErP Inputs'!J41</f>
        <v>33</v>
      </c>
      <c r="G22" s="72">
        <f>(D22-16)/(Tdesignh-16)</f>
        <v>0.34615384615384615</v>
      </c>
      <c r="H22" s="47">
        <f t="shared" si="0"/>
        <v>0</v>
      </c>
      <c r="I22" s="47">
        <f>IF('ErP Inputs'!I42="",'ErP Inputs'!I20,'ErP Inputs'!I42)</f>
        <v>0</v>
      </c>
      <c r="J22" s="47">
        <f>IF('ErP Inputs'!I43="",(('HIGH SCOP'!J22-'LOW SCOP'!J22)*0.5+'LOW SCOP'!J22),'ErP Inputs'!I43)</f>
        <v>0</v>
      </c>
      <c r="K22" s="47">
        <f>IF('ErP Inputs'!I44=0,0.9,'ErP Inputs'!I44)</f>
        <v>0.9</v>
      </c>
      <c r="L22" s="47" t="e">
        <f t="shared" si="1"/>
        <v>#DIV/0!</v>
      </c>
      <c r="M22" s="47" t="e">
        <f t="shared" si="2"/>
        <v>#DIV/0!</v>
      </c>
      <c r="N22" s="47" t="e">
        <f t="shared" si="3"/>
        <v>#DIV/0!</v>
      </c>
      <c r="Q22" s="52" t="b">
        <f>ISERROR(N27)</f>
        <v>1</v>
      </c>
    </row>
    <row r="23" spans="1:19" x14ac:dyDescent="0.35">
      <c r="C23" s="71" t="s">
        <v>18</v>
      </c>
      <c r="D23" s="71">
        <v>12</v>
      </c>
      <c r="E23" s="44">
        <f>IF('ErP Inputs'!D4="Ground Source",0,IF('ErP Inputs'!D4="Air Source",12,10))</f>
        <v>12</v>
      </c>
      <c r="F23" s="71">
        <f>'ErP Inputs'!L41</f>
        <v>28</v>
      </c>
      <c r="G23" s="72">
        <f>(D23-16)/(Tdesignh-16)</f>
        <v>0.15384615384615385</v>
      </c>
      <c r="H23" s="47">
        <f t="shared" si="0"/>
        <v>0</v>
      </c>
      <c r="I23" s="47">
        <f>IF('ErP Inputs'!K42="",'ErP Inputs'!K20,'ErP Inputs'!K42)</f>
        <v>0</v>
      </c>
      <c r="J23" s="47">
        <f>IF('ErP Inputs'!K43="",(('HIGH SCOP'!J23-'LOW SCOP'!J23)*0.5+'LOW SCOP'!J23),'ErP Inputs'!K43)</f>
        <v>0</v>
      </c>
      <c r="K23" s="47">
        <f>IF('ErP Inputs'!K44=0,0.9,'ErP Inputs'!K44)</f>
        <v>0.9</v>
      </c>
      <c r="L23" s="47" t="e">
        <f>IF(I23&lt;H23,1,H23/I23)</f>
        <v>#DIV/0!</v>
      </c>
      <c r="M23" s="47" t="e">
        <f t="shared" si="2"/>
        <v>#DIV/0!</v>
      </c>
      <c r="N23" s="47" t="e">
        <f>IF(L23=1,J23,J23*L23/(K23*L23+(1-K23)))</f>
        <v>#DIV/0!</v>
      </c>
    </row>
    <row r="24" spans="1:19" x14ac:dyDescent="0.35">
      <c r="C24" s="71" t="s">
        <v>166</v>
      </c>
      <c r="D24" s="71">
        <f>IF(OR('ErP Inputs'!D4="Ground Source",'ErP Inputs'!D4="Water Source"),-10,IF('ErP Inputs'!D35&gt;-7,"N/A",IF(AND('ErP Inputs'!D35&gt;=Tdesignh,'ErP Inputs'!D35&lt;=-7),'ErP Inputs'!D35,Tdesignh)))</f>
        <v>-10</v>
      </c>
      <c r="E24" s="44">
        <f>IF('ErP Inputs'!D4="Ground Source",0,IF('ErP Inputs'!D4="Air Source",D24,10))</f>
        <v>-10</v>
      </c>
      <c r="F24" s="71">
        <f>'ErP Inputs'!N41</f>
        <v>45</v>
      </c>
      <c r="G24" s="72">
        <f>(D24-16)/(Tdesignh-16)</f>
        <v>1</v>
      </c>
      <c r="H24" s="47">
        <f t="shared" si="0"/>
        <v>0</v>
      </c>
      <c r="I24" s="47">
        <f>IF('ErP Inputs'!M42="",'ErP Inputs'!M20,'ErP Inputs'!M42)</f>
        <v>0</v>
      </c>
      <c r="J24" s="47">
        <f>IF('ErP Inputs'!M43="",(('HIGH SCOP'!J24-'LOW SCOP'!J24)*0.5+'LOW SCOP'!J24),'ErP Inputs'!M43)</f>
        <v>0</v>
      </c>
      <c r="K24" s="47">
        <f>IF('ErP Inputs'!M44=0,0.9,'ErP Inputs'!M44)</f>
        <v>0.9</v>
      </c>
      <c r="L24" s="47" t="e">
        <f t="shared" si="1"/>
        <v>#DIV/0!</v>
      </c>
      <c r="M24" s="47" t="e">
        <f t="shared" si="2"/>
        <v>#DIV/0!</v>
      </c>
      <c r="N24" s="47" t="e">
        <f t="shared" si="3"/>
        <v>#DIV/0!</v>
      </c>
    </row>
    <row r="25" spans="1:19" x14ac:dyDescent="0.35">
      <c r="C25" s="74"/>
      <c r="D25" s="74"/>
      <c r="F25" s="74"/>
      <c r="G25" s="75"/>
      <c r="H25" s="76"/>
      <c r="I25" s="76"/>
      <c r="J25" s="76"/>
      <c r="K25" s="74"/>
      <c r="L25" s="76"/>
      <c r="M25" s="76"/>
      <c r="N25" s="76"/>
    </row>
    <row r="26" spans="1:19" ht="15" thickBot="1" x14ac:dyDescent="0.4"/>
    <row r="27" spans="1:19" ht="17" thickBot="1" x14ac:dyDescent="0.5">
      <c r="M27" s="77" t="s">
        <v>45</v>
      </c>
      <c r="N27" s="78" t="e">
        <f>N58</f>
        <v>#DIV/0!</v>
      </c>
      <c r="P27" s="77" t="s">
        <v>57</v>
      </c>
      <c r="Q27" s="78" t="e">
        <f>Q58</f>
        <v>#DIV/0!</v>
      </c>
    </row>
    <row r="28" spans="1:19" ht="52.5" customHeight="1" x14ac:dyDescent="0.45">
      <c r="C28" s="46" t="s">
        <v>35</v>
      </c>
      <c r="D28" s="67" t="s">
        <v>36</v>
      </c>
      <c r="E28" s="46" t="s">
        <v>37</v>
      </c>
      <c r="F28" s="46" t="s">
        <v>23</v>
      </c>
      <c r="G28" s="46" t="s">
        <v>29</v>
      </c>
      <c r="H28" s="67" t="s">
        <v>42</v>
      </c>
      <c r="I28" s="67" t="s">
        <v>40</v>
      </c>
      <c r="J28" s="67" t="s">
        <v>38</v>
      </c>
      <c r="K28" s="67" t="s">
        <v>41</v>
      </c>
      <c r="L28" s="67" t="s">
        <v>43</v>
      </c>
      <c r="M28" s="67" t="s">
        <v>34</v>
      </c>
      <c r="N28" s="67" t="s">
        <v>44</v>
      </c>
      <c r="P28" s="67" t="s">
        <v>46</v>
      </c>
      <c r="Q28" s="67" t="s">
        <v>48</v>
      </c>
    </row>
    <row r="29" spans="1:19" ht="16.5" x14ac:dyDescent="0.45">
      <c r="C29" s="46" t="s">
        <v>0</v>
      </c>
      <c r="D29" s="46" t="s">
        <v>54</v>
      </c>
      <c r="E29" s="46" t="s">
        <v>53</v>
      </c>
      <c r="F29" s="46"/>
      <c r="G29" s="46" t="s">
        <v>52</v>
      </c>
      <c r="H29" s="46" t="s">
        <v>51</v>
      </c>
      <c r="I29" s="46"/>
      <c r="J29" s="46"/>
      <c r="K29" s="46" t="s">
        <v>50</v>
      </c>
      <c r="L29" s="46" t="s">
        <v>49</v>
      </c>
      <c r="M29" s="67"/>
      <c r="N29" s="46" t="s">
        <v>56</v>
      </c>
      <c r="P29" s="46" t="s">
        <v>47</v>
      </c>
      <c r="Q29" s="46" t="s">
        <v>55</v>
      </c>
    </row>
    <row r="30" spans="1:19" ht="16.5" x14ac:dyDescent="0.35">
      <c r="C30" s="46"/>
      <c r="D30" s="46" t="s">
        <v>20</v>
      </c>
      <c r="E30" s="46" t="s">
        <v>4</v>
      </c>
      <c r="F30" s="46"/>
      <c r="G30" s="46" t="s">
        <v>21</v>
      </c>
      <c r="H30" s="46" t="s">
        <v>22</v>
      </c>
      <c r="I30" s="46" t="s">
        <v>21</v>
      </c>
      <c r="J30" s="46" t="s">
        <v>21</v>
      </c>
      <c r="K30" s="67" t="s">
        <v>21</v>
      </c>
      <c r="L30" s="46" t="s">
        <v>22</v>
      </c>
      <c r="M30" s="67"/>
      <c r="N30" s="46" t="s">
        <v>22</v>
      </c>
      <c r="P30" s="46" t="s">
        <v>22</v>
      </c>
      <c r="Q30" s="46" t="s">
        <v>22</v>
      </c>
    </row>
    <row r="31" spans="1:19" x14ac:dyDescent="0.35">
      <c r="C31" s="44">
        <v>21</v>
      </c>
      <c r="D31" s="44">
        <v>-10</v>
      </c>
      <c r="E31" s="44">
        <f>HLOOKUP($D$5,'Table 37'!$B$3:$F$51,24,FALSE)</f>
        <v>1</v>
      </c>
      <c r="F31" s="79">
        <f t="shared" ref="F31:F56" si="4">(D31-16)/(Tdesignh-16)</f>
        <v>1</v>
      </c>
      <c r="G31" s="79">
        <f>$D$7*F31</f>
        <v>0</v>
      </c>
      <c r="H31" s="80">
        <f t="shared" ref="H31:H56" si="5">E31*G31</f>
        <v>0</v>
      </c>
      <c r="I31" s="81">
        <f>IF(D24&gt;D31,0,I24)</f>
        <v>0</v>
      </c>
      <c r="J31" s="81">
        <f>IF(G31&lt;I31,G31,I31)</f>
        <v>0</v>
      </c>
      <c r="K31" s="82">
        <f t="shared" ref="K31:K56" si="6">IF(G31-I31&gt;0,G31-I31,0)</f>
        <v>0</v>
      </c>
      <c r="L31" s="80">
        <f>IF(D24="N/A",#DIV/0!,K31*E31)</f>
        <v>0</v>
      </c>
      <c r="M31" s="83" t="e">
        <f>COPPL_TOL</f>
        <v>#DIV/0!</v>
      </c>
      <c r="N31" s="80">
        <f>IFERROR(E31*((G31-K31)/M31+K31),L31)</f>
        <v>0</v>
      </c>
      <c r="P31" s="80">
        <f t="shared" ref="P31:P56" si="7">E31*(G31-K31)</f>
        <v>0</v>
      </c>
      <c r="Q31" s="80">
        <f>IF(P31=0,L31,IF(F31&lt;1,E31*Q31/M31,E31*(G31-K31)/M31))</f>
        <v>0</v>
      </c>
      <c r="R31" s="52">
        <f>IF(G31=I31,D31,IF(AND(G31&gt;I31,G32&lt;I32),TRUE,FALSE))</f>
        <v>-10</v>
      </c>
      <c r="S31" s="84">
        <f>IF(R31=FALSE,"N/A",D31)</f>
        <v>-10</v>
      </c>
    </row>
    <row r="32" spans="1:19" x14ac:dyDescent="0.35">
      <c r="C32" s="44">
        <v>22</v>
      </c>
      <c r="D32" s="44">
        <v>-9</v>
      </c>
      <c r="E32" s="44">
        <f>HLOOKUP($D$5,'Table 37'!$B$3:$F$51,25,FALSE)</f>
        <v>25</v>
      </c>
      <c r="F32" s="79">
        <f t="shared" si="4"/>
        <v>0.96153846153846156</v>
      </c>
      <c r="G32" s="79">
        <f t="shared" ref="G32:G56" si="8">$D$7*F32</f>
        <v>0</v>
      </c>
      <c r="H32" s="80">
        <f t="shared" si="5"/>
        <v>0</v>
      </c>
      <c r="I32" s="79">
        <f>IF(D24&gt;D32,0,IF(D24=D32,I24,(($I$20-$I$24)/($D$20-$D$24)*(D32-$D$24)+$I$24)))</f>
        <v>0</v>
      </c>
      <c r="J32" s="79">
        <f>IF(I32=0,0,IF(G32&lt;(($I$20-$I$24)/($D$20-$D$24)*(D32-$D$24)+$I$24),G32,(($I$20-$I$24)/($D$20-$D$24)*(D32-$D$24)+$I$24)))</f>
        <v>0</v>
      </c>
      <c r="K32" s="82">
        <f t="shared" si="6"/>
        <v>0</v>
      </c>
      <c r="L32" s="80">
        <f t="shared" ref="L32:L56" si="9">K32*E32</f>
        <v>0</v>
      </c>
      <c r="M32" s="82" t="e">
        <f>((COPPL_a-COPPL_TOL)/($D$20-$D$24)*(D32-$D$24)+COPPL_TOL)</f>
        <v>#DIV/0!</v>
      </c>
      <c r="N32" s="80">
        <f>IFERROR(E32*((G32-K32)/M32+K32),L32)</f>
        <v>0</v>
      </c>
      <c r="P32" s="80">
        <f t="shared" si="7"/>
        <v>0</v>
      </c>
      <c r="Q32" s="80">
        <f>IF(P31=0,L32,E32*(G32-K32)/M32)</f>
        <v>0</v>
      </c>
      <c r="R32" s="52">
        <f t="shared" ref="R32:R56" si="10">IF(G32=I32,D32,IF(AND(G32&gt;I32,G33&lt;I33),TRUE,FALSE))</f>
        <v>-9</v>
      </c>
      <c r="S32" s="84">
        <f t="shared" ref="S32:S56" si="11">IF(R32=FALSE,"N/A",D32)</f>
        <v>-9</v>
      </c>
    </row>
    <row r="33" spans="3:19" x14ac:dyDescent="0.35">
      <c r="C33" s="44">
        <v>23</v>
      </c>
      <c r="D33" s="44">
        <v>-8</v>
      </c>
      <c r="E33" s="44">
        <f>HLOOKUP($D$5,'Table 37'!$B$3:$F$51,26,FALSE)</f>
        <v>23</v>
      </c>
      <c r="F33" s="79">
        <f t="shared" si="4"/>
        <v>0.92307692307692313</v>
      </c>
      <c r="G33" s="79">
        <f t="shared" si="8"/>
        <v>0</v>
      </c>
      <c r="H33" s="80">
        <f t="shared" si="5"/>
        <v>0</v>
      </c>
      <c r="I33" s="79">
        <f>IF(D24&gt;D33,0,IF(D24=D33,I24,(($I$20-$I$24)/($D$20-$D$24)*(D33-$D$24)+$I$24)))</f>
        <v>0</v>
      </c>
      <c r="J33" s="79">
        <f>IF(D24&gt;=-7,0,IF(G33&lt;(($I$20-$I$24)/($D$20-$D$24)*(D33-$D$24)+$I$24),G33,(($I$20-$I$24)/($D$20-$D$24)*(D33-$D$24)+$I$24)))</f>
        <v>0</v>
      </c>
      <c r="K33" s="82">
        <f t="shared" si="6"/>
        <v>0</v>
      </c>
      <c r="L33" s="80">
        <f t="shared" si="9"/>
        <v>0</v>
      </c>
      <c r="M33" s="82" t="e">
        <f>((COPPL_a-COPPL_TOL)/($D$20-$D$24)*(D33-$D$24)+COPPL_TOL)</f>
        <v>#DIV/0!</v>
      </c>
      <c r="N33" s="80">
        <f>IFERROR(E33*((G33-K33)/M33+K33),L33)</f>
        <v>0</v>
      </c>
      <c r="P33" s="80">
        <f t="shared" si="7"/>
        <v>0</v>
      </c>
      <c r="Q33" s="80">
        <f>IF(P31=0,L33,E33*(G33-K33)/M33)</f>
        <v>0</v>
      </c>
      <c r="R33" s="52">
        <f t="shared" si="10"/>
        <v>-8</v>
      </c>
      <c r="S33" s="84">
        <f t="shared" si="11"/>
        <v>-8</v>
      </c>
    </row>
    <row r="34" spans="3:19" x14ac:dyDescent="0.35">
      <c r="C34" s="44">
        <v>24</v>
      </c>
      <c r="D34" s="44">
        <v>-7</v>
      </c>
      <c r="E34" s="44">
        <f>HLOOKUP($D$5,'Table 37'!$B$3:$F$51,27,FALSE)</f>
        <v>24</v>
      </c>
      <c r="F34" s="79">
        <f t="shared" si="4"/>
        <v>0.88461538461538458</v>
      </c>
      <c r="G34" s="79">
        <f t="shared" si="8"/>
        <v>0</v>
      </c>
      <c r="H34" s="80">
        <f t="shared" si="5"/>
        <v>0</v>
      </c>
      <c r="I34" s="81">
        <f>I20</f>
        <v>0</v>
      </c>
      <c r="J34" s="81">
        <f>IF(G34&lt;I20,G34,I20)</f>
        <v>0</v>
      </c>
      <c r="K34" s="82">
        <f t="shared" si="6"/>
        <v>0</v>
      </c>
      <c r="L34" s="80">
        <f t="shared" si="9"/>
        <v>0</v>
      </c>
      <c r="M34" s="83" t="e">
        <f>COPPL_a</f>
        <v>#DIV/0!</v>
      </c>
      <c r="N34" s="80" t="e">
        <f t="shared" ref="N34:N56" si="12">E34*((G34-K34)/M34+K34)</f>
        <v>#DIV/0!</v>
      </c>
      <c r="P34" s="80">
        <f t="shared" si="7"/>
        <v>0</v>
      </c>
      <c r="Q34" s="80" t="e">
        <f t="shared" ref="Q34:Q56" si="13">E34*(G34-K34)/M34</f>
        <v>#DIV/0!</v>
      </c>
      <c r="R34" s="52">
        <f t="shared" si="10"/>
        <v>-7</v>
      </c>
      <c r="S34" s="84">
        <f t="shared" si="11"/>
        <v>-7</v>
      </c>
    </row>
    <row r="35" spans="3:19" x14ac:dyDescent="0.35">
      <c r="C35" s="44">
        <v>25</v>
      </c>
      <c r="D35" s="44">
        <v>-6</v>
      </c>
      <c r="E35" s="44">
        <f>HLOOKUP($D$5,'Table 37'!$B$3:$F$51,28,FALSE)</f>
        <v>27</v>
      </c>
      <c r="F35" s="79">
        <f t="shared" si="4"/>
        <v>0.84615384615384615</v>
      </c>
      <c r="G35" s="79">
        <f t="shared" si="8"/>
        <v>0</v>
      </c>
      <c r="H35" s="80">
        <f t="shared" si="5"/>
        <v>0</v>
      </c>
      <c r="I35" s="79">
        <f t="shared" ref="I35:I42" si="14">(($I$21-$I$20)/($D$21-$D$20)*(D35-$D$20)+$I$20)</f>
        <v>0</v>
      </c>
      <c r="J35" s="79">
        <f t="shared" ref="J35:J42" si="15">IF(G35&lt;(($I$21-$I$20)/($D$21-$D$20)*(D35-$D$20)+$I$20),G35,(($I$21-$I$20)/($D$21-$D$20)*(D35-$D$20)+$I$20))</f>
        <v>0</v>
      </c>
      <c r="K35" s="82">
        <f t="shared" si="6"/>
        <v>0</v>
      </c>
      <c r="L35" s="80">
        <f t="shared" si="9"/>
        <v>0</v>
      </c>
      <c r="M35" s="82" t="e">
        <f t="shared" ref="M35:M42" si="16">((COPPL_b-COPPL_a)/($D$21-$D$20)*(D35-$D$20)+COPPL_a)</f>
        <v>#DIV/0!</v>
      </c>
      <c r="N35" s="80" t="e">
        <f t="shared" si="12"/>
        <v>#DIV/0!</v>
      </c>
      <c r="P35" s="80">
        <f t="shared" si="7"/>
        <v>0</v>
      </c>
      <c r="Q35" s="80" t="e">
        <f t="shared" si="13"/>
        <v>#DIV/0!</v>
      </c>
      <c r="R35" s="52">
        <f t="shared" si="10"/>
        <v>-6</v>
      </c>
      <c r="S35" s="84">
        <f t="shared" si="11"/>
        <v>-6</v>
      </c>
    </row>
    <row r="36" spans="3:19" x14ac:dyDescent="0.35">
      <c r="C36" s="44">
        <v>26</v>
      </c>
      <c r="D36" s="44">
        <v>-5</v>
      </c>
      <c r="E36" s="44">
        <f>HLOOKUP($D$5,'Table 37'!$B$3:$F$51,29,FALSE)</f>
        <v>68</v>
      </c>
      <c r="F36" s="79">
        <f t="shared" si="4"/>
        <v>0.80769230769230771</v>
      </c>
      <c r="G36" s="79">
        <f t="shared" si="8"/>
        <v>0</v>
      </c>
      <c r="H36" s="80">
        <f t="shared" si="5"/>
        <v>0</v>
      </c>
      <c r="I36" s="79">
        <f t="shared" si="14"/>
        <v>0</v>
      </c>
      <c r="J36" s="79">
        <f t="shared" si="15"/>
        <v>0</v>
      </c>
      <c r="K36" s="82">
        <f t="shared" si="6"/>
        <v>0</v>
      </c>
      <c r="L36" s="80">
        <f t="shared" si="9"/>
        <v>0</v>
      </c>
      <c r="M36" s="82" t="e">
        <f t="shared" si="16"/>
        <v>#DIV/0!</v>
      </c>
      <c r="N36" s="80" t="e">
        <f t="shared" si="12"/>
        <v>#DIV/0!</v>
      </c>
      <c r="P36" s="80">
        <f t="shared" si="7"/>
        <v>0</v>
      </c>
      <c r="Q36" s="80" t="e">
        <f t="shared" si="13"/>
        <v>#DIV/0!</v>
      </c>
      <c r="R36" s="52">
        <f t="shared" si="10"/>
        <v>-5</v>
      </c>
      <c r="S36" s="84">
        <f t="shared" si="11"/>
        <v>-5</v>
      </c>
    </row>
    <row r="37" spans="3:19" x14ac:dyDescent="0.35">
      <c r="C37" s="44">
        <v>27</v>
      </c>
      <c r="D37" s="44">
        <v>-4</v>
      </c>
      <c r="E37" s="44">
        <f>HLOOKUP($D$5,'Table 37'!$B$3:$F$51,30,FALSE)</f>
        <v>91</v>
      </c>
      <c r="F37" s="79">
        <f t="shared" si="4"/>
        <v>0.76923076923076927</v>
      </c>
      <c r="G37" s="79">
        <f t="shared" si="8"/>
        <v>0</v>
      </c>
      <c r="H37" s="80">
        <f t="shared" si="5"/>
        <v>0</v>
      </c>
      <c r="I37" s="79">
        <f t="shared" si="14"/>
        <v>0</v>
      </c>
      <c r="J37" s="79">
        <f t="shared" si="15"/>
        <v>0</v>
      </c>
      <c r="K37" s="82">
        <f t="shared" si="6"/>
        <v>0</v>
      </c>
      <c r="L37" s="80">
        <f t="shared" si="9"/>
        <v>0</v>
      </c>
      <c r="M37" s="82" t="e">
        <f t="shared" si="16"/>
        <v>#DIV/0!</v>
      </c>
      <c r="N37" s="80" t="e">
        <f t="shared" si="12"/>
        <v>#DIV/0!</v>
      </c>
      <c r="P37" s="80">
        <f t="shared" si="7"/>
        <v>0</v>
      </c>
      <c r="Q37" s="80" t="e">
        <f t="shared" si="13"/>
        <v>#DIV/0!</v>
      </c>
      <c r="R37" s="52">
        <f t="shared" si="10"/>
        <v>-4</v>
      </c>
      <c r="S37" s="84">
        <f t="shared" si="11"/>
        <v>-4</v>
      </c>
    </row>
    <row r="38" spans="3:19" x14ac:dyDescent="0.35">
      <c r="C38" s="44">
        <v>28</v>
      </c>
      <c r="D38" s="44">
        <v>-3</v>
      </c>
      <c r="E38" s="44">
        <f>HLOOKUP($D$5,'Table 37'!$B$3:$F$51,31,FALSE)</f>
        <v>89</v>
      </c>
      <c r="F38" s="79">
        <f t="shared" si="4"/>
        <v>0.73076923076923073</v>
      </c>
      <c r="G38" s="79">
        <f t="shared" si="8"/>
        <v>0</v>
      </c>
      <c r="H38" s="80">
        <f t="shared" si="5"/>
        <v>0</v>
      </c>
      <c r="I38" s="79">
        <f t="shared" si="14"/>
        <v>0</v>
      </c>
      <c r="J38" s="79">
        <f t="shared" si="15"/>
        <v>0</v>
      </c>
      <c r="K38" s="82">
        <f t="shared" si="6"/>
        <v>0</v>
      </c>
      <c r="L38" s="80">
        <f t="shared" si="9"/>
        <v>0</v>
      </c>
      <c r="M38" s="82" t="e">
        <f t="shared" si="16"/>
        <v>#DIV/0!</v>
      </c>
      <c r="N38" s="80" t="e">
        <f t="shared" si="12"/>
        <v>#DIV/0!</v>
      </c>
      <c r="P38" s="80">
        <f t="shared" si="7"/>
        <v>0</v>
      </c>
      <c r="Q38" s="80" t="e">
        <f t="shared" si="13"/>
        <v>#DIV/0!</v>
      </c>
      <c r="R38" s="52">
        <f t="shared" si="10"/>
        <v>-3</v>
      </c>
      <c r="S38" s="84">
        <f t="shared" si="11"/>
        <v>-3</v>
      </c>
    </row>
    <row r="39" spans="3:19" x14ac:dyDescent="0.35">
      <c r="C39" s="44">
        <v>29</v>
      </c>
      <c r="D39" s="44">
        <v>-2</v>
      </c>
      <c r="E39" s="44">
        <f>HLOOKUP($D$5,'Table 37'!$B$3:$F$51,32,FALSE)</f>
        <v>165</v>
      </c>
      <c r="F39" s="79">
        <f t="shared" si="4"/>
        <v>0.69230769230769229</v>
      </c>
      <c r="G39" s="79">
        <f t="shared" si="8"/>
        <v>0</v>
      </c>
      <c r="H39" s="80">
        <f t="shared" si="5"/>
        <v>0</v>
      </c>
      <c r="I39" s="79">
        <f t="shared" si="14"/>
        <v>0</v>
      </c>
      <c r="J39" s="79">
        <f t="shared" si="15"/>
        <v>0</v>
      </c>
      <c r="K39" s="82">
        <f t="shared" si="6"/>
        <v>0</v>
      </c>
      <c r="L39" s="80">
        <f t="shared" si="9"/>
        <v>0</v>
      </c>
      <c r="M39" s="82" t="e">
        <f t="shared" si="16"/>
        <v>#DIV/0!</v>
      </c>
      <c r="N39" s="80" t="e">
        <f t="shared" si="12"/>
        <v>#DIV/0!</v>
      </c>
      <c r="P39" s="80">
        <f t="shared" si="7"/>
        <v>0</v>
      </c>
      <c r="Q39" s="80" t="e">
        <f t="shared" si="13"/>
        <v>#DIV/0!</v>
      </c>
      <c r="R39" s="52">
        <f t="shared" si="10"/>
        <v>-2</v>
      </c>
      <c r="S39" s="84">
        <f t="shared" si="11"/>
        <v>-2</v>
      </c>
    </row>
    <row r="40" spans="3:19" x14ac:dyDescent="0.35">
      <c r="C40" s="44">
        <v>30</v>
      </c>
      <c r="D40" s="44">
        <v>-1</v>
      </c>
      <c r="E40" s="44">
        <f>HLOOKUP($D$5,'Table 37'!$B$3:$F$51,33,FALSE)</f>
        <v>173</v>
      </c>
      <c r="F40" s="79">
        <f t="shared" si="4"/>
        <v>0.65384615384615385</v>
      </c>
      <c r="G40" s="79">
        <f t="shared" si="8"/>
        <v>0</v>
      </c>
      <c r="H40" s="80">
        <f t="shared" si="5"/>
        <v>0</v>
      </c>
      <c r="I40" s="79">
        <f t="shared" si="14"/>
        <v>0</v>
      </c>
      <c r="J40" s="79">
        <f t="shared" si="15"/>
        <v>0</v>
      </c>
      <c r="K40" s="82">
        <f t="shared" si="6"/>
        <v>0</v>
      </c>
      <c r="L40" s="80">
        <f t="shared" si="9"/>
        <v>0</v>
      </c>
      <c r="M40" s="82" t="e">
        <f t="shared" si="16"/>
        <v>#DIV/0!</v>
      </c>
      <c r="N40" s="80" t="e">
        <f t="shared" si="12"/>
        <v>#DIV/0!</v>
      </c>
      <c r="P40" s="80">
        <f t="shared" si="7"/>
        <v>0</v>
      </c>
      <c r="Q40" s="80" t="e">
        <f t="shared" si="13"/>
        <v>#DIV/0!</v>
      </c>
      <c r="R40" s="52">
        <f t="shared" si="10"/>
        <v>-1</v>
      </c>
      <c r="S40" s="84">
        <f t="shared" si="11"/>
        <v>-1</v>
      </c>
    </row>
    <row r="41" spans="3:19" x14ac:dyDescent="0.35">
      <c r="C41" s="44">
        <v>31</v>
      </c>
      <c r="D41" s="44">
        <v>0</v>
      </c>
      <c r="E41" s="44">
        <f>HLOOKUP($D$5,'Table 37'!$B$3:$F$51,34,FALSE)</f>
        <v>240</v>
      </c>
      <c r="F41" s="79">
        <f t="shared" si="4"/>
        <v>0.61538461538461542</v>
      </c>
      <c r="G41" s="79">
        <f t="shared" si="8"/>
        <v>0</v>
      </c>
      <c r="H41" s="80">
        <f t="shared" si="5"/>
        <v>0</v>
      </c>
      <c r="I41" s="79">
        <f t="shared" si="14"/>
        <v>0</v>
      </c>
      <c r="J41" s="79">
        <f t="shared" si="15"/>
        <v>0</v>
      </c>
      <c r="K41" s="82">
        <f t="shared" si="6"/>
        <v>0</v>
      </c>
      <c r="L41" s="80">
        <f t="shared" si="9"/>
        <v>0</v>
      </c>
      <c r="M41" s="82" t="e">
        <f t="shared" si="16"/>
        <v>#DIV/0!</v>
      </c>
      <c r="N41" s="80" t="e">
        <f t="shared" si="12"/>
        <v>#DIV/0!</v>
      </c>
      <c r="P41" s="80">
        <f t="shared" si="7"/>
        <v>0</v>
      </c>
      <c r="Q41" s="80" t="e">
        <f t="shared" si="13"/>
        <v>#DIV/0!</v>
      </c>
      <c r="R41" s="52">
        <f t="shared" si="10"/>
        <v>0</v>
      </c>
      <c r="S41" s="84">
        <f t="shared" si="11"/>
        <v>0</v>
      </c>
    </row>
    <row r="42" spans="3:19" x14ac:dyDescent="0.35">
      <c r="C42" s="44">
        <v>32</v>
      </c>
      <c r="D42" s="44">
        <v>1</v>
      </c>
      <c r="E42" s="44">
        <f>HLOOKUP($D$5,'Table 37'!$B$3:$F$51,35,FALSE)</f>
        <v>280</v>
      </c>
      <c r="F42" s="79">
        <f t="shared" si="4"/>
        <v>0.57692307692307687</v>
      </c>
      <c r="G42" s="79">
        <f t="shared" si="8"/>
        <v>0</v>
      </c>
      <c r="H42" s="80">
        <f t="shared" si="5"/>
        <v>0</v>
      </c>
      <c r="I42" s="79">
        <f t="shared" si="14"/>
        <v>0</v>
      </c>
      <c r="J42" s="79">
        <f t="shared" si="15"/>
        <v>0</v>
      </c>
      <c r="K42" s="82">
        <f t="shared" si="6"/>
        <v>0</v>
      </c>
      <c r="L42" s="80">
        <f t="shared" si="9"/>
        <v>0</v>
      </c>
      <c r="M42" s="82" t="e">
        <f t="shared" si="16"/>
        <v>#DIV/0!</v>
      </c>
      <c r="N42" s="80" t="e">
        <f t="shared" si="12"/>
        <v>#DIV/0!</v>
      </c>
      <c r="P42" s="80">
        <f t="shared" si="7"/>
        <v>0</v>
      </c>
      <c r="Q42" s="80" t="e">
        <f t="shared" si="13"/>
        <v>#DIV/0!</v>
      </c>
      <c r="R42" s="52">
        <f t="shared" si="10"/>
        <v>1</v>
      </c>
      <c r="S42" s="84">
        <f t="shared" si="11"/>
        <v>1</v>
      </c>
    </row>
    <row r="43" spans="3:19" x14ac:dyDescent="0.35">
      <c r="C43" s="44">
        <v>33</v>
      </c>
      <c r="D43" s="44">
        <v>2</v>
      </c>
      <c r="E43" s="44">
        <f>HLOOKUP($D$5,'Table 37'!$B$3:$F$51,36,FALSE)</f>
        <v>320</v>
      </c>
      <c r="F43" s="79">
        <f t="shared" si="4"/>
        <v>0.53846153846153844</v>
      </c>
      <c r="G43" s="79">
        <f t="shared" si="8"/>
        <v>0</v>
      </c>
      <c r="H43" s="80">
        <f t="shared" si="5"/>
        <v>0</v>
      </c>
      <c r="I43" s="81">
        <f>I21</f>
        <v>0</v>
      </c>
      <c r="J43" s="81">
        <f>IF(G43&lt;I21,G43,I21)</f>
        <v>0</v>
      </c>
      <c r="K43" s="82">
        <f t="shared" si="6"/>
        <v>0</v>
      </c>
      <c r="L43" s="80">
        <f t="shared" si="9"/>
        <v>0</v>
      </c>
      <c r="M43" s="83" t="e">
        <f>COPPL_b</f>
        <v>#DIV/0!</v>
      </c>
      <c r="N43" s="80" t="e">
        <f t="shared" si="12"/>
        <v>#DIV/0!</v>
      </c>
      <c r="P43" s="80">
        <f t="shared" si="7"/>
        <v>0</v>
      </c>
      <c r="Q43" s="80" t="e">
        <f t="shared" si="13"/>
        <v>#DIV/0!</v>
      </c>
      <c r="R43" s="52">
        <f t="shared" si="10"/>
        <v>2</v>
      </c>
      <c r="S43" s="84">
        <f t="shared" si="11"/>
        <v>2</v>
      </c>
    </row>
    <row r="44" spans="3:19" x14ac:dyDescent="0.35">
      <c r="C44" s="44">
        <v>34</v>
      </c>
      <c r="D44" s="44">
        <v>3</v>
      </c>
      <c r="E44" s="44">
        <f>HLOOKUP($D$5,'Table 37'!$B$3:$F$51,37,FALSE)</f>
        <v>357</v>
      </c>
      <c r="F44" s="79">
        <f t="shared" si="4"/>
        <v>0.5</v>
      </c>
      <c r="G44" s="79">
        <f t="shared" si="8"/>
        <v>0</v>
      </c>
      <c r="H44" s="80">
        <f t="shared" si="5"/>
        <v>0</v>
      </c>
      <c r="I44" s="79">
        <f>(($I$22-$I$21)/($D$22-$D$21)*(D44-$D$21)+$I$21)</f>
        <v>0</v>
      </c>
      <c r="J44" s="79">
        <f>IF(G44&lt;(($I$22-$I$21)/($D$22-$D$21)*(D44-$D$21)+$I$21),G44,(($I$22-$I$21)/($D$22-$D$21)*(D44-$D$21)+$I$21))</f>
        <v>0</v>
      </c>
      <c r="K44" s="82">
        <f t="shared" si="6"/>
        <v>0</v>
      </c>
      <c r="L44" s="80">
        <f t="shared" si="9"/>
        <v>0</v>
      </c>
      <c r="M44" s="82" t="e">
        <f>((COPPL_c-COPPL_b)/($D$22-$D$21)*(D44-$D$21)+COPPL_b)</f>
        <v>#DIV/0!</v>
      </c>
      <c r="N44" s="80" t="e">
        <f t="shared" si="12"/>
        <v>#DIV/0!</v>
      </c>
      <c r="P44" s="80">
        <f t="shared" si="7"/>
        <v>0</v>
      </c>
      <c r="Q44" s="80" t="e">
        <f t="shared" si="13"/>
        <v>#DIV/0!</v>
      </c>
      <c r="R44" s="52">
        <f t="shared" si="10"/>
        <v>3</v>
      </c>
      <c r="S44" s="84">
        <f t="shared" si="11"/>
        <v>3</v>
      </c>
    </row>
    <row r="45" spans="3:19" x14ac:dyDescent="0.35">
      <c r="C45" s="44">
        <v>35</v>
      </c>
      <c r="D45" s="44">
        <v>4</v>
      </c>
      <c r="E45" s="44">
        <f>HLOOKUP($D$5,'Table 37'!$B$3:$F$51,38,FALSE)</f>
        <v>356</v>
      </c>
      <c r="F45" s="79">
        <f t="shared" si="4"/>
        <v>0.46153846153846156</v>
      </c>
      <c r="G45" s="79">
        <f t="shared" si="8"/>
        <v>0</v>
      </c>
      <c r="H45" s="80">
        <f t="shared" si="5"/>
        <v>0</v>
      </c>
      <c r="I45" s="79">
        <f>(($I$22-$I$21)/($D$22-$D$21)*(D45-$D$21)+$I$21)</f>
        <v>0</v>
      </c>
      <c r="J45" s="79">
        <f>IF(G45&lt;(($I$22-$I$21)/($D$22-$D$21)*(D45-$D$21)+$I$21),G45,(($I$22-$I$21)/($D$22-$D$21)*(D45-$D$21)+$I$21))</f>
        <v>0</v>
      </c>
      <c r="K45" s="82">
        <f t="shared" si="6"/>
        <v>0</v>
      </c>
      <c r="L45" s="80">
        <f t="shared" si="9"/>
        <v>0</v>
      </c>
      <c r="M45" s="82" t="e">
        <f>((COPPL_c-COPPL_b)/($D$22-$D$21)*(D45-$D$21)+COPPL_b)</f>
        <v>#DIV/0!</v>
      </c>
      <c r="N45" s="80" t="e">
        <f t="shared" si="12"/>
        <v>#DIV/0!</v>
      </c>
      <c r="P45" s="80">
        <f t="shared" si="7"/>
        <v>0</v>
      </c>
      <c r="Q45" s="80" t="e">
        <f t="shared" si="13"/>
        <v>#DIV/0!</v>
      </c>
      <c r="R45" s="52">
        <f t="shared" si="10"/>
        <v>4</v>
      </c>
      <c r="S45" s="84">
        <f t="shared" si="11"/>
        <v>4</v>
      </c>
    </row>
    <row r="46" spans="3:19" x14ac:dyDescent="0.35">
      <c r="C46" s="44">
        <v>36</v>
      </c>
      <c r="D46" s="44">
        <v>5</v>
      </c>
      <c r="E46" s="44">
        <f>HLOOKUP($D$5,'Table 37'!$B$3:$F$51,39,FALSE)</f>
        <v>303</v>
      </c>
      <c r="F46" s="79">
        <f t="shared" si="4"/>
        <v>0.42307692307692307</v>
      </c>
      <c r="G46" s="79">
        <f t="shared" si="8"/>
        <v>0</v>
      </c>
      <c r="H46" s="80">
        <f t="shared" si="5"/>
        <v>0</v>
      </c>
      <c r="I46" s="79">
        <f>(($I$22-$I$21)/($D$22-$D$21)*(D46-$D$21)+$I$21)</f>
        <v>0</v>
      </c>
      <c r="J46" s="79">
        <f>IF(G46&lt;(($I$22-$I$21)/($D$22-$D$21)*(D46-$D$21)+$I$21),G46,(($I$22-$I$21)/($D$22-$D$21)*(D46-$D$21)+$I$21))</f>
        <v>0</v>
      </c>
      <c r="K46" s="82">
        <f t="shared" si="6"/>
        <v>0</v>
      </c>
      <c r="L46" s="80">
        <f t="shared" si="9"/>
        <v>0</v>
      </c>
      <c r="M46" s="82" t="e">
        <f>((COPPL_c-COPPL_b)/($D$22-$D$21)*(D46-$D$21)+COPPL_b)</f>
        <v>#DIV/0!</v>
      </c>
      <c r="N46" s="80" t="e">
        <f t="shared" si="12"/>
        <v>#DIV/0!</v>
      </c>
      <c r="P46" s="80">
        <f t="shared" si="7"/>
        <v>0</v>
      </c>
      <c r="Q46" s="80" t="e">
        <f t="shared" si="13"/>
        <v>#DIV/0!</v>
      </c>
      <c r="R46" s="52">
        <f t="shared" si="10"/>
        <v>5</v>
      </c>
      <c r="S46" s="84">
        <f t="shared" si="11"/>
        <v>5</v>
      </c>
    </row>
    <row r="47" spans="3:19" x14ac:dyDescent="0.35">
      <c r="C47" s="44">
        <v>37</v>
      </c>
      <c r="D47" s="44">
        <v>6</v>
      </c>
      <c r="E47" s="44">
        <f>HLOOKUP($D$5,'Table 37'!$B$3:$F$51,40,FALSE)</f>
        <v>330</v>
      </c>
      <c r="F47" s="79">
        <f t="shared" si="4"/>
        <v>0.38461538461538464</v>
      </c>
      <c r="G47" s="79">
        <f t="shared" si="8"/>
        <v>0</v>
      </c>
      <c r="H47" s="80">
        <f t="shared" si="5"/>
        <v>0</v>
      </c>
      <c r="I47" s="79">
        <f>(($I$22-$I$21)/($D$22-$D$21)*(D47-$D$21)+$I$21)</f>
        <v>0</v>
      </c>
      <c r="J47" s="79">
        <f>IF(G47&lt;(($I$22-$I$21)/($D$22-$D$21)*(D47-$D$21)+$I$21),G47,(($I$22-$I$21)/($D$22-$D$21)*(D47-$D$21)+$I$21))</f>
        <v>0</v>
      </c>
      <c r="K47" s="82">
        <f t="shared" si="6"/>
        <v>0</v>
      </c>
      <c r="L47" s="80">
        <f t="shared" si="9"/>
        <v>0</v>
      </c>
      <c r="M47" s="82" t="e">
        <f>((COPPL_c-COPPL_b)/($D$22-$D$21)*(D47-$D$21)+COPPL_b)</f>
        <v>#DIV/0!</v>
      </c>
      <c r="N47" s="80" t="e">
        <f t="shared" si="12"/>
        <v>#DIV/0!</v>
      </c>
      <c r="P47" s="80">
        <f t="shared" si="7"/>
        <v>0</v>
      </c>
      <c r="Q47" s="80" t="e">
        <f t="shared" si="13"/>
        <v>#DIV/0!</v>
      </c>
      <c r="R47" s="52">
        <f t="shared" si="10"/>
        <v>6</v>
      </c>
      <c r="S47" s="84">
        <f t="shared" si="11"/>
        <v>6</v>
      </c>
    </row>
    <row r="48" spans="3:19" x14ac:dyDescent="0.35">
      <c r="C48" s="44">
        <v>38</v>
      </c>
      <c r="D48" s="44">
        <v>7</v>
      </c>
      <c r="E48" s="44">
        <f>HLOOKUP($D$5,'Table 37'!$B$3:$F$51,41,FALSE)</f>
        <v>326</v>
      </c>
      <c r="F48" s="79">
        <f t="shared" si="4"/>
        <v>0.34615384615384615</v>
      </c>
      <c r="G48" s="79">
        <f t="shared" si="8"/>
        <v>0</v>
      </c>
      <c r="H48" s="80">
        <f t="shared" si="5"/>
        <v>0</v>
      </c>
      <c r="I48" s="81">
        <f>I22</f>
        <v>0</v>
      </c>
      <c r="J48" s="81">
        <f>IF(G48&lt;I22,G48,I22)</f>
        <v>0</v>
      </c>
      <c r="K48" s="82">
        <f t="shared" si="6"/>
        <v>0</v>
      </c>
      <c r="L48" s="80">
        <f t="shared" si="9"/>
        <v>0</v>
      </c>
      <c r="M48" s="83" t="e">
        <f>COPPL_c</f>
        <v>#DIV/0!</v>
      </c>
      <c r="N48" s="80" t="e">
        <f t="shared" si="12"/>
        <v>#DIV/0!</v>
      </c>
      <c r="P48" s="80">
        <f t="shared" si="7"/>
        <v>0</v>
      </c>
      <c r="Q48" s="80" t="e">
        <f t="shared" si="13"/>
        <v>#DIV/0!</v>
      </c>
      <c r="R48" s="52">
        <f t="shared" si="10"/>
        <v>7</v>
      </c>
      <c r="S48" s="84">
        <f t="shared" si="11"/>
        <v>7</v>
      </c>
    </row>
    <row r="49" spans="3:24" x14ac:dyDescent="0.35">
      <c r="C49" s="44">
        <v>39</v>
      </c>
      <c r="D49" s="44">
        <v>8</v>
      </c>
      <c r="E49" s="44">
        <f>HLOOKUP($D$5,'Table 37'!$B$3:$F$51,42,FALSE)</f>
        <v>348</v>
      </c>
      <c r="F49" s="79">
        <f t="shared" si="4"/>
        <v>0.30769230769230771</v>
      </c>
      <c r="G49" s="79">
        <f t="shared" si="8"/>
        <v>0</v>
      </c>
      <c r="H49" s="80">
        <f t="shared" si="5"/>
        <v>0</v>
      </c>
      <c r="I49" s="79">
        <f>(($I$23-$I$22)/($D$23-$D$22)*(D49-$D$22)+$I$22)</f>
        <v>0</v>
      </c>
      <c r="J49" s="79">
        <f>IF(G49&lt;(($I$23-$I$22)/($D$23-$D$22)*(D49-$D$22)+$I$22),G49,((($I$23-$I$22)/($D$23-$D$22)*(D49-$D$22)+$I$22)))</f>
        <v>0</v>
      </c>
      <c r="K49" s="82">
        <f t="shared" si="6"/>
        <v>0</v>
      </c>
      <c r="L49" s="80">
        <f t="shared" si="9"/>
        <v>0</v>
      </c>
      <c r="M49" s="82" t="e">
        <f>((COPPL_d-COPPL_c)/($D$23-$D$22)*(D49-$D$22)+COPPL_c)</f>
        <v>#DIV/0!</v>
      </c>
      <c r="N49" s="80" t="e">
        <f t="shared" si="12"/>
        <v>#DIV/0!</v>
      </c>
      <c r="P49" s="80">
        <f t="shared" si="7"/>
        <v>0</v>
      </c>
      <c r="Q49" s="80" t="e">
        <f t="shared" si="13"/>
        <v>#DIV/0!</v>
      </c>
      <c r="R49" s="52">
        <f t="shared" si="10"/>
        <v>8</v>
      </c>
      <c r="S49" s="84">
        <f t="shared" si="11"/>
        <v>8</v>
      </c>
    </row>
    <row r="50" spans="3:24" x14ac:dyDescent="0.35">
      <c r="C50" s="44">
        <v>40</v>
      </c>
      <c r="D50" s="44">
        <v>9</v>
      </c>
      <c r="E50" s="44">
        <f>HLOOKUP($D$5,'Table 37'!$B$3:$F$51,43,FALSE)</f>
        <v>335</v>
      </c>
      <c r="F50" s="79">
        <f t="shared" si="4"/>
        <v>0.26923076923076922</v>
      </c>
      <c r="G50" s="79">
        <f t="shared" si="8"/>
        <v>0</v>
      </c>
      <c r="H50" s="80">
        <f t="shared" si="5"/>
        <v>0</v>
      </c>
      <c r="I50" s="79">
        <f>(($I$23-$I$22)/($D$23-$D$22)*(D50-$D$22)+$I$22)</f>
        <v>0</v>
      </c>
      <c r="J50" s="79">
        <f>IF(G50&lt;(($I$23-$I$22)/($D$23-$D$22)*(D50-$D$22)+$I$22),G50,((($I$23-$I$22)/($D$23-$D$22)*(D50-$D$22)+$I$22)))</f>
        <v>0</v>
      </c>
      <c r="K50" s="82">
        <f t="shared" si="6"/>
        <v>0</v>
      </c>
      <c r="L50" s="80">
        <f t="shared" si="9"/>
        <v>0</v>
      </c>
      <c r="M50" s="82" t="e">
        <f>((COPPL_d-COPPL_c)/($D$23-$D$22)*(D50-$D$22)+COPPL_c)</f>
        <v>#DIV/0!</v>
      </c>
      <c r="N50" s="80" t="e">
        <f t="shared" si="12"/>
        <v>#DIV/0!</v>
      </c>
      <c r="P50" s="80">
        <f t="shared" si="7"/>
        <v>0</v>
      </c>
      <c r="Q50" s="80" t="e">
        <f t="shared" si="13"/>
        <v>#DIV/0!</v>
      </c>
      <c r="R50" s="52">
        <f t="shared" si="10"/>
        <v>9</v>
      </c>
      <c r="S50" s="84">
        <f t="shared" si="11"/>
        <v>9</v>
      </c>
    </row>
    <row r="51" spans="3:24" x14ac:dyDescent="0.35">
      <c r="C51" s="44">
        <v>41</v>
      </c>
      <c r="D51" s="44">
        <v>10</v>
      </c>
      <c r="E51" s="44">
        <f>HLOOKUP($D$5,'Table 37'!$B$3:$F$51,44,FALSE)</f>
        <v>315</v>
      </c>
      <c r="F51" s="79">
        <f t="shared" si="4"/>
        <v>0.23076923076923078</v>
      </c>
      <c r="G51" s="79">
        <f t="shared" si="8"/>
        <v>0</v>
      </c>
      <c r="H51" s="80">
        <f t="shared" si="5"/>
        <v>0</v>
      </c>
      <c r="I51" s="79">
        <f>(($I$23-$I$22)/($D$23-$D$22)*(D51-$D$22)+$I$22)</f>
        <v>0</v>
      </c>
      <c r="J51" s="79">
        <f>IF(G51&lt;(($I$23-$I$22)/($D$23-$D$22)*(D51-$D$22)+$I$22),G51,((($I$23-$I$22)/($D$23-$D$22)*(D51-$D$22)+$I$22)))</f>
        <v>0</v>
      </c>
      <c r="K51" s="82">
        <f t="shared" si="6"/>
        <v>0</v>
      </c>
      <c r="L51" s="80">
        <f t="shared" si="9"/>
        <v>0</v>
      </c>
      <c r="M51" s="82" t="e">
        <f>((COPPL_d-COPPL_c)/($D$23-$D$22)*(D51-$D$22)+COPPL_c)</f>
        <v>#DIV/0!</v>
      </c>
      <c r="N51" s="80" t="e">
        <f t="shared" si="12"/>
        <v>#DIV/0!</v>
      </c>
      <c r="P51" s="80">
        <f t="shared" si="7"/>
        <v>0</v>
      </c>
      <c r="Q51" s="80" t="e">
        <f t="shared" si="13"/>
        <v>#DIV/0!</v>
      </c>
      <c r="R51" s="52">
        <f t="shared" si="10"/>
        <v>10</v>
      </c>
      <c r="S51" s="84">
        <f t="shared" si="11"/>
        <v>10</v>
      </c>
    </row>
    <row r="52" spans="3:24" x14ac:dyDescent="0.35">
      <c r="C52" s="44">
        <v>42</v>
      </c>
      <c r="D52" s="44">
        <v>11</v>
      </c>
      <c r="E52" s="44">
        <f>HLOOKUP($D$5,'Table 37'!$B$3:$F$51,45,FALSE)</f>
        <v>215</v>
      </c>
      <c r="F52" s="79">
        <f t="shared" si="4"/>
        <v>0.19230769230769232</v>
      </c>
      <c r="G52" s="79">
        <f t="shared" si="8"/>
        <v>0</v>
      </c>
      <c r="H52" s="80">
        <f t="shared" si="5"/>
        <v>0</v>
      </c>
      <c r="I52" s="79">
        <f>(($I$23-$I$22)/($D$23-$D$22)*(D52-$D$22)+$I$22)</f>
        <v>0</v>
      </c>
      <c r="J52" s="79">
        <f>IF(G52&lt;(($I$23-$I$22)/($D$23-$D$22)*(D52-$D$22)+$I$22),G52,((($I$23-$I$22)/($D$23-$D$22)*(D52-$D$22)+$I$22)))</f>
        <v>0</v>
      </c>
      <c r="K52" s="82">
        <f t="shared" si="6"/>
        <v>0</v>
      </c>
      <c r="L52" s="80">
        <f t="shared" si="9"/>
        <v>0</v>
      </c>
      <c r="M52" s="82" t="e">
        <f>((COPPL_d-COPPL_c)/($D$23-$D$22)*(D52-$D$22)+COPPL_c)</f>
        <v>#DIV/0!</v>
      </c>
      <c r="N52" s="80" t="e">
        <f t="shared" si="12"/>
        <v>#DIV/0!</v>
      </c>
      <c r="P52" s="80">
        <f t="shared" si="7"/>
        <v>0</v>
      </c>
      <c r="Q52" s="80" t="e">
        <f t="shared" si="13"/>
        <v>#DIV/0!</v>
      </c>
      <c r="R52" s="52">
        <f t="shared" si="10"/>
        <v>11</v>
      </c>
      <c r="S52" s="84">
        <f t="shared" si="11"/>
        <v>11</v>
      </c>
    </row>
    <row r="53" spans="3:24" x14ac:dyDescent="0.35">
      <c r="C53" s="44">
        <v>43</v>
      </c>
      <c r="D53" s="44">
        <v>12</v>
      </c>
      <c r="E53" s="44">
        <f>HLOOKUP($D$5,'Table 37'!$B$3:$F$51,46,FALSE)</f>
        <v>169</v>
      </c>
      <c r="F53" s="79">
        <f t="shared" si="4"/>
        <v>0.15384615384615385</v>
      </c>
      <c r="G53" s="79">
        <f t="shared" si="8"/>
        <v>0</v>
      </c>
      <c r="H53" s="80">
        <f t="shared" si="5"/>
        <v>0</v>
      </c>
      <c r="I53" s="81">
        <f>I23</f>
        <v>0</v>
      </c>
      <c r="J53" s="81">
        <f>IF(G53&lt;I23,G53,I23)</f>
        <v>0</v>
      </c>
      <c r="K53" s="82">
        <f t="shared" si="6"/>
        <v>0</v>
      </c>
      <c r="L53" s="80">
        <f t="shared" si="9"/>
        <v>0</v>
      </c>
      <c r="M53" s="83" t="e">
        <f>COPPL_d</f>
        <v>#DIV/0!</v>
      </c>
      <c r="N53" s="80" t="e">
        <f t="shared" si="12"/>
        <v>#DIV/0!</v>
      </c>
      <c r="P53" s="80">
        <f t="shared" si="7"/>
        <v>0</v>
      </c>
      <c r="Q53" s="80" t="e">
        <f t="shared" si="13"/>
        <v>#DIV/0!</v>
      </c>
      <c r="R53" s="52">
        <f t="shared" si="10"/>
        <v>12</v>
      </c>
      <c r="S53" s="84">
        <f t="shared" si="11"/>
        <v>12</v>
      </c>
    </row>
    <row r="54" spans="3:24" x14ac:dyDescent="0.35">
      <c r="C54" s="44">
        <v>44</v>
      </c>
      <c r="D54" s="44">
        <v>13</v>
      </c>
      <c r="E54" s="44">
        <f>HLOOKUP($D$5,'Table 37'!$B$3:$F$51,47,FALSE)</f>
        <v>151</v>
      </c>
      <c r="F54" s="79">
        <f t="shared" si="4"/>
        <v>0.11538461538461539</v>
      </c>
      <c r="G54" s="79">
        <f t="shared" si="8"/>
        <v>0</v>
      </c>
      <c r="H54" s="80">
        <f t="shared" si="5"/>
        <v>0</v>
      </c>
      <c r="I54" s="79">
        <f>(($I$23-$I$22)/($D$23-$D$22)*(D54-$D$22)+$I$22)</f>
        <v>0</v>
      </c>
      <c r="J54" s="79">
        <f>IF(G54&lt;(($I$23-$I$22)/($D$23-$D$22)*(D54-$D$22)+$I$22),G54,((($I$23-$I$22)/($D$23-$D$22)*(D54-$D$22)+$I$22)))</f>
        <v>0</v>
      </c>
      <c r="K54" s="82">
        <f t="shared" si="6"/>
        <v>0</v>
      </c>
      <c r="L54" s="80">
        <f t="shared" si="9"/>
        <v>0</v>
      </c>
      <c r="M54" s="82" t="e">
        <f>((COPPL_d-COPPL_c)/($D$23-$D$22)*(D54-$D$22)+COPPL_c)</f>
        <v>#DIV/0!</v>
      </c>
      <c r="N54" s="80" t="e">
        <f t="shared" si="12"/>
        <v>#DIV/0!</v>
      </c>
      <c r="P54" s="80">
        <f t="shared" si="7"/>
        <v>0</v>
      </c>
      <c r="Q54" s="80" t="e">
        <f t="shared" si="13"/>
        <v>#DIV/0!</v>
      </c>
      <c r="R54" s="52">
        <f t="shared" si="10"/>
        <v>13</v>
      </c>
      <c r="S54" s="84">
        <f t="shared" si="11"/>
        <v>13</v>
      </c>
    </row>
    <row r="55" spans="3:24" x14ac:dyDescent="0.35">
      <c r="C55" s="44">
        <v>45</v>
      </c>
      <c r="D55" s="44">
        <v>14</v>
      </c>
      <c r="E55" s="44">
        <f>HLOOKUP($D$5,'Table 37'!$B$3:$F$51,48,FALSE)</f>
        <v>105</v>
      </c>
      <c r="F55" s="79">
        <f t="shared" si="4"/>
        <v>7.6923076923076927E-2</v>
      </c>
      <c r="G55" s="79">
        <f t="shared" si="8"/>
        <v>0</v>
      </c>
      <c r="H55" s="80">
        <f t="shared" si="5"/>
        <v>0</v>
      </c>
      <c r="I55" s="79">
        <f>(($I$23-$I$22)/($D$23-$D$22)*(D55-$D$22)+$I$22)</f>
        <v>0</v>
      </c>
      <c r="J55" s="79">
        <f>IF(G55&lt;(($I$23-$I$22)/($D$23-$D$22)*(D55-$D$22)+$I$22),G55,((($I$23-$I$22)/($D$23-$D$22)*(D55-$D$22)+$I$22)))</f>
        <v>0</v>
      </c>
      <c r="K55" s="82">
        <f t="shared" si="6"/>
        <v>0</v>
      </c>
      <c r="L55" s="80">
        <f t="shared" si="9"/>
        <v>0</v>
      </c>
      <c r="M55" s="82" t="e">
        <f>((COPPL_d-COPPL_c)/($D$23-$D$22)*(D55-$D$22)+COPPL_c)</f>
        <v>#DIV/0!</v>
      </c>
      <c r="N55" s="80" t="e">
        <f t="shared" si="12"/>
        <v>#DIV/0!</v>
      </c>
      <c r="P55" s="80">
        <f t="shared" si="7"/>
        <v>0</v>
      </c>
      <c r="Q55" s="80" t="e">
        <f t="shared" si="13"/>
        <v>#DIV/0!</v>
      </c>
      <c r="R55" s="52">
        <f t="shared" si="10"/>
        <v>14</v>
      </c>
      <c r="S55" s="84">
        <f t="shared" si="11"/>
        <v>14</v>
      </c>
    </row>
    <row r="56" spans="3:24" x14ac:dyDescent="0.35">
      <c r="C56" s="44">
        <v>46</v>
      </c>
      <c r="D56" s="44">
        <v>15</v>
      </c>
      <c r="E56" s="44">
        <f>HLOOKUP($D$5,'Table 37'!$B$3:$F$51,49,FALSE)</f>
        <v>74</v>
      </c>
      <c r="F56" s="79">
        <f t="shared" si="4"/>
        <v>3.8461538461538464E-2</v>
      </c>
      <c r="G56" s="79">
        <f t="shared" si="8"/>
        <v>0</v>
      </c>
      <c r="H56" s="80">
        <f t="shared" si="5"/>
        <v>0</v>
      </c>
      <c r="I56" s="79">
        <f>(($I$23-$I$22)/($D$23-$D$22)*(D56-$D$22)+$I$22)</f>
        <v>0</v>
      </c>
      <c r="J56" s="79">
        <f>IF(G56&lt;(($I$23-$I$22)/($D$23-$D$22)*(D56-$D$22)+$I$22),G56,((($I$23-$I$22)/($D$23-$D$22)*(D56-$D$22)+$I$22)))</f>
        <v>0</v>
      </c>
      <c r="K56" s="82">
        <f t="shared" si="6"/>
        <v>0</v>
      </c>
      <c r="L56" s="80">
        <f t="shared" si="9"/>
        <v>0</v>
      </c>
      <c r="M56" s="82" t="e">
        <f>((COPPL_d-COPPL_c)/($D$23-$D$22)*(D56-$D$22)+COPPL_c)</f>
        <v>#DIV/0!</v>
      </c>
      <c r="N56" s="80" t="e">
        <f t="shared" si="12"/>
        <v>#DIV/0!</v>
      </c>
      <c r="P56" s="80">
        <f t="shared" si="7"/>
        <v>0</v>
      </c>
      <c r="Q56" s="80" t="e">
        <f t="shared" si="13"/>
        <v>#DIV/0!</v>
      </c>
      <c r="R56" s="52">
        <f t="shared" si="10"/>
        <v>15</v>
      </c>
      <c r="S56" s="84">
        <f t="shared" si="11"/>
        <v>15</v>
      </c>
    </row>
    <row r="57" spans="3:24" ht="15" thickBot="1" x14ac:dyDescent="0.4">
      <c r="E57" s="39">
        <f>SUM(E31:E56)</f>
        <v>4910</v>
      </c>
      <c r="H57" s="51">
        <f>SUM(H31:H56)</f>
        <v>0</v>
      </c>
      <c r="L57" s="51">
        <f>SUM(L31:L56)</f>
        <v>0</v>
      </c>
      <c r="N57" s="51" t="e">
        <f>SUM(N31:N56)</f>
        <v>#DIV/0!</v>
      </c>
      <c r="P57" s="51">
        <f>SUM(P31:P56)</f>
        <v>0</v>
      </c>
      <c r="Q57" s="51" t="e">
        <f>SUM(Q31:Q56)</f>
        <v>#DIV/0!</v>
      </c>
      <c r="R57" s="52"/>
      <c r="S57" s="52"/>
    </row>
    <row r="58" spans="3:24" ht="17" thickBot="1" x14ac:dyDescent="0.5">
      <c r="M58" s="77" t="s">
        <v>45</v>
      </c>
      <c r="N58" s="78" t="e">
        <f>IF('ErP Inputs'!D8="Low Temperature Heat Pump","N/A",H57/N57)</f>
        <v>#DIV/0!</v>
      </c>
      <c r="P58" s="77" t="s">
        <v>57</v>
      </c>
      <c r="Q58" s="78" t="e">
        <f>IF('ErP Inputs'!D8="Low Temperature Heat Pump","N/A",P57/Q57)</f>
        <v>#DIV/0!</v>
      </c>
    </row>
    <row r="60" spans="3:24" x14ac:dyDescent="0.35">
      <c r="U60" s="38"/>
      <c r="V60" s="38"/>
      <c r="W60" s="38"/>
      <c r="X60" s="38"/>
    </row>
  </sheetData>
  <scenarios current="0" show="0">
    <scenario name="Maximum SCOP_Pdesignh" locked="1" count="1" user="John Davies" comment="Created by John Davies on 22/10/2014_x000a_Modified by John Davies on 22/10/2014">
      <inputCells r="D3" val="14.5"/>
    </scenario>
  </scenarios>
  <conditionalFormatting sqref="P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3">
      <colorScale>
        <cfvo type="num" val="30"/>
        <cfvo type="num" val="80"/>
        <cfvo type="num" val="150"/>
        <color rgb="FFF8696B"/>
        <color rgb="FFFFEB84"/>
        <color rgb="FF63BE7B"/>
      </colorScale>
    </cfRule>
  </conditionalFormatting>
  <conditionalFormatting sqref="Q19">
    <cfRule type="colorScale" priority="1">
      <colorScale>
        <cfvo type="num" val="30"/>
        <cfvo type="percentile" val="60"/>
        <cfvo type="num" val="150"/>
        <color rgb="FFF8696B"/>
        <color rgb="FFFFEB84"/>
        <color rgb="FF63BE7B"/>
      </colorScale>
    </cfRule>
  </conditionalFormatting>
  <dataValidations disablePrompts="1" count="1">
    <dataValidation type="list" allowBlank="1" showInputMessage="1" showErrorMessage="1" sqref="D13" xr:uid="{00000000-0002-0000-0400-000000000000}">
      <formula1>$H$10:$H$12</formula1>
    </dataValidation>
  </dataValidations>
  <printOptions headings="1"/>
  <pageMargins left="0.25" right="0.25" top="0.75" bottom="0.75" header="0.3" footer="0.3"/>
  <pageSetup paperSize="9" scale="3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39997558519241921"/>
    <pageSetUpPr fitToPage="1"/>
  </sheetPr>
  <dimension ref="A3:X60"/>
  <sheetViews>
    <sheetView zoomScale="80" zoomScaleNormal="80" workbookViewId="0">
      <selection activeCell="H5" sqref="H5"/>
    </sheetView>
  </sheetViews>
  <sheetFormatPr defaultColWidth="9.1796875" defaultRowHeight="14.5" x14ac:dyDescent="0.35"/>
  <cols>
    <col min="1" max="2" width="3.81640625" style="38" customWidth="1"/>
    <col min="3" max="3" width="30.453125" style="38" customWidth="1"/>
    <col min="4" max="4" width="16.81640625" style="38" customWidth="1"/>
    <col min="5" max="5" width="15.81640625" style="38" bestFit="1" customWidth="1"/>
    <col min="6" max="6" width="18.7265625" style="38" bestFit="1" customWidth="1"/>
    <col min="7" max="7" width="11.7265625" style="38" customWidth="1"/>
    <col min="8" max="8" width="14.453125" style="38" customWidth="1"/>
    <col min="9" max="9" width="23.453125" style="38" customWidth="1"/>
    <col min="10" max="10" width="19.453125" style="38" bestFit="1" customWidth="1"/>
    <col min="11" max="11" width="25.81640625" style="38" bestFit="1" customWidth="1"/>
    <col min="12" max="12" width="18.453125" style="38" customWidth="1"/>
    <col min="13" max="13" width="17" style="38" bestFit="1" customWidth="1"/>
    <col min="14" max="14" width="36.26953125" style="38" bestFit="1" customWidth="1"/>
    <col min="15" max="15" width="4" style="38" customWidth="1"/>
    <col min="16" max="16" width="43" style="38" customWidth="1"/>
    <col min="17" max="17" width="26" style="38" bestFit="1" customWidth="1"/>
    <col min="18" max="18" width="6.54296875" style="38" bestFit="1" customWidth="1"/>
    <col min="19" max="19" width="4.26953125" style="38" customWidth="1"/>
    <col min="20" max="20" width="24.26953125" style="38" customWidth="1"/>
    <col min="21" max="21" width="24.1796875" style="39" customWidth="1"/>
    <col min="22" max="22" width="25.54296875" style="39" bestFit="1" customWidth="1"/>
    <col min="23" max="24" width="24.1796875" style="39" customWidth="1"/>
    <col min="25" max="25" width="8.26953125" style="38" customWidth="1"/>
    <col min="26" max="16384" width="9.1796875" style="38"/>
  </cols>
  <sheetData>
    <row r="3" spans="1:24" ht="18.5" x14ac:dyDescent="0.45">
      <c r="D3" s="40"/>
    </row>
    <row r="4" spans="1:24" x14ac:dyDescent="0.35">
      <c r="C4" s="38" t="s">
        <v>104</v>
      </c>
    </row>
    <row r="5" spans="1:24" ht="16.5" x14ac:dyDescent="0.45">
      <c r="A5" s="42"/>
      <c r="C5" s="43" t="s">
        <v>24</v>
      </c>
      <c r="D5" s="44" t="s">
        <v>9</v>
      </c>
      <c r="J5" s="38" t="s">
        <v>146</v>
      </c>
      <c r="K5" s="39"/>
      <c r="L5" s="39"/>
      <c r="M5" s="39"/>
      <c r="P5" s="38" t="s">
        <v>63</v>
      </c>
      <c r="Q5" s="45">
        <f>'ErP Inputs'!$D$36</f>
        <v>1.2999999999999999E-2</v>
      </c>
      <c r="R5" s="38" t="s">
        <v>21</v>
      </c>
      <c r="U5" s="38"/>
      <c r="V5" s="38"/>
      <c r="W5" s="38"/>
      <c r="X5" s="38"/>
    </row>
    <row r="6" spans="1:24" ht="17.5" x14ac:dyDescent="0.45">
      <c r="A6" s="42"/>
      <c r="C6" s="43" t="s">
        <v>19</v>
      </c>
      <c r="D6" s="44">
        <v>-10</v>
      </c>
      <c r="E6" s="38" t="s">
        <v>20</v>
      </c>
      <c r="J6" s="46" t="s">
        <v>68</v>
      </c>
      <c r="K6" s="46" t="s">
        <v>65</v>
      </c>
      <c r="L6" s="46" t="s">
        <v>66</v>
      </c>
      <c r="M6" s="46" t="s">
        <v>67</v>
      </c>
      <c r="N6" s="46" t="s">
        <v>145</v>
      </c>
      <c r="P6" s="38" t="s">
        <v>64</v>
      </c>
      <c r="Q6" s="45">
        <f>'ErP Inputs'!$D$37</f>
        <v>0</v>
      </c>
      <c r="R6" s="38" t="s">
        <v>21</v>
      </c>
      <c r="U6" s="38"/>
      <c r="V6" s="38"/>
      <c r="W6" s="38"/>
      <c r="X6" s="38"/>
    </row>
    <row r="7" spans="1:24" ht="16.5" x14ac:dyDescent="0.45">
      <c r="A7" s="42"/>
      <c r="C7" s="43" t="s">
        <v>25</v>
      </c>
      <c r="D7" s="47">
        <f>'ErP Inputs'!K16</f>
        <v>0</v>
      </c>
      <c r="E7" s="38" t="s">
        <v>21</v>
      </c>
      <c r="I7" s="48" t="s">
        <v>62</v>
      </c>
      <c r="J7" s="49">
        <v>2066</v>
      </c>
      <c r="K7" s="44">
        <v>178</v>
      </c>
      <c r="L7" s="44">
        <v>0</v>
      </c>
      <c r="M7" s="44">
        <v>3672</v>
      </c>
      <c r="N7" s="44">
        <v>3850</v>
      </c>
      <c r="P7" s="38" t="s">
        <v>147</v>
      </c>
      <c r="Q7" s="45">
        <f>'ErP Inputs'!$D$38</f>
        <v>0</v>
      </c>
      <c r="R7" s="38" t="s">
        <v>21</v>
      </c>
      <c r="U7" s="38"/>
      <c r="V7" s="38"/>
      <c r="W7" s="38"/>
      <c r="X7" s="38"/>
    </row>
    <row r="8" spans="1:24" ht="20.5" x14ac:dyDescent="0.55000000000000004">
      <c r="A8" s="42"/>
      <c r="D8" s="39"/>
      <c r="J8" s="39"/>
      <c r="K8" s="39"/>
      <c r="L8" s="39"/>
      <c r="M8" s="39"/>
      <c r="P8" s="50" t="s">
        <v>105</v>
      </c>
      <c r="Q8" s="51">
        <f>D7*J7</f>
        <v>0</v>
      </c>
      <c r="U8" s="38"/>
      <c r="V8" s="38"/>
      <c r="W8" s="38"/>
      <c r="X8" s="38"/>
    </row>
    <row r="9" spans="1:24" ht="20.5" x14ac:dyDescent="0.55000000000000004">
      <c r="A9" s="52"/>
      <c r="B9" s="52"/>
      <c r="C9" s="53"/>
      <c r="D9" s="54"/>
      <c r="J9" s="39"/>
      <c r="K9" s="39"/>
      <c r="L9" s="39"/>
      <c r="M9" s="39"/>
      <c r="P9" s="55" t="s">
        <v>106</v>
      </c>
      <c r="Q9" s="51" t="e">
        <f>Q8/N27+(K7*Q5)+(M7*Q6)+(N7*Q7)</f>
        <v>#DIV/0!</v>
      </c>
      <c r="U9" s="38"/>
      <c r="V9" s="38"/>
      <c r="W9" s="38"/>
      <c r="X9" s="38"/>
    </row>
    <row r="10" spans="1:24" ht="15" thickBot="1" x14ac:dyDescent="0.4">
      <c r="A10" s="52"/>
      <c r="B10" s="52"/>
      <c r="D10" s="39"/>
    </row>
    <row r="11" spans="1:24" ht="21.5" thickBot="1" x14ac:dyDescent="0.55000000000000004">
      <c r="A11" s="52"/>
      <c r="B11" s="52"/>
      <c r="C11" s="56" t="str">
        <f>'ErP Inputs'!D4</f>
        <v>Air Source</v>
      </c>
      <c r="D11" s="39"/>
      <c r="P11" s="57" t="s">
        <v>61</v>
      </c>
      <c r="Q11" s="58" t="e">
        <f>Q8/Q9</f>
        <v>#DIV/0!</v>
      </c>
    </row>
    <row r="12" spans="1:24" ht="21" x14ac:dyDescent="0.5">
      <c r="A12" s="52"/>
      <c r="B12" s="52"/>
      <c r="C12" s="56" t="str">
        <f>'ErP Inputs'!D5</f>
        <v>Variable Outlet</v>
      </c>
      <c r="P12" s="38" t="s">
        <v>70</v>
      </c>
      <c r="Q12" s="39">
        <v>2.5</v>
      </c>
    </row>
    <row r="13" spans="1:24" x14ac:dyDescent="0.35">
      <c r="A13" s="52"/>
      <c r="B13" s="52"/>
      <c r="C13" s="59"/>
      <c r="D13" s="60"/>
      <c r="G13" s="61"/>
      <c r="I13" s="39"/>
      <c r="P13" s="38" t="s">
        <v>72</v>
      </c>
      <c r="Q13" s="39">
        <v>3</v>
      </c>
      <c r="R13" s="38" t="s">
        <v>28</v>
      </c>
    </row>
    <row r="14" spans="1:24" x14ac:dyDescent="0.35">
      <c r="A14" s="52"/>
      <c r="B14" s="52"/>
      <c r="C14" s="62" t="s">
        <v>23</v>
      </c>
      <c r="D14" s="63"/>
      <c r="E14" s="63"/>
      <c r="F14" s="64" t="str">
        <f>IF(D5="Average","(Tj-16) / (-10-16) %",IF(D5="Warmer","(Tj-16) / (+2-16) %","(Tj-16) / (-22-16) %"))</f>
        <v>(Tj-16) / (-10-16) %</v>
      </c>
      <c r="G14" s="65"/>
      <c r="I14" s="39"/>
      <c r="P14" s="38" t="s">
        <v>118</v>
      </c>
      <c r="Q14" s="39">
        <f>IF(C11="Ground Source",5,0)</f>
        <v>0</v>
      </c>
      <c r="R14" s="38" t="s">
        <v>28</v>
      </c>
    </row>
    <row r="15" spans="1:24" x14ac:dyDescent="0.35">
      <c r="I15" s="66"/>
      <c r="J15" s="66"/>
      <c r="P15" s="38" t="s">
        <v>189</v>
      </c>
      <c r="Q15" s="39">
        <f>Q13+Q14</f>
        <v>3</v>
      </c>
      <c r="R15" s="38" t="s">
        <v>28</v>
      </c>
    </row>
    <row r="16" spans="1:24" ht="15" thickBot="1" x14ac:dyDescent="0.4">
      <c r="A16" s="52"/>
      <c r="B16" s="52"/>
    </row>
    <row r="17" spans="1:20" ht="41.25" customHeight="1" thickBot="1" x14ac:dyDescent="0.4">
      <c r="A17" s="52"/>
      <c r="B17" s="52"/>
      <c r="C17" s="46" t="s">
        <v>27</v>
      </c>
      <c r="D17" s="67" t="s">
        <v>167</v>
      </c>
      <c r="E17" s="67" t="s">
        <v>168</v>
      </c>
      <c r="F17" s="67" t="s">
        <v>26</v>
      </c>
      <c r="G17" s="67" t="s">
        <v>23</v>
      </c>
      <c r="H17" s="67" t="s">
        <v>29</v>
      </c>
      <c r="I17" s="67" t="s">
        <v>30</v>
      </c>
      <c r="J17" s="67" t="s">
        <v>31</v>
      </c>
      <c r="K17" s="67" t="s">
        <v>102</v>
      </c>
      <c r="L17" s="67" t="s">
        <v>103</v>
      </c>
      <c r="M17" s="67" t="s">
        <v>39</v>
      </c>
      <c r="N17" s="67" t="s">
        <v>33</v>
      </c>
      <c r="P17" s="57" t="s">
        <v>69</v>
      </c>
      <c r="Q17" s="68" t="e">
        <f>(100/Q12)*Q11-Q15</f>
        <v>#DIV/0!</v>
      </c>
    </row>
    <row r="18" spans="1:20" ht="17" thickBot="1" x14ac:dyDescent="0.5">
      <c r="C18" s="48"/>
      <c r="D18" s="48"/>
      <c r="E18" s="48"/>
      <c r="F18" s="48"/>
      <c r="G18" s="46" t="s">
        <v>28</v>
      </c>
      <c r="H18" s="46" t="s">
        <v>21</v>
      </c>
      <c r="I18" s="46" t="s">
        <v>21</v>
      </c>
      <c r="J18" s="46" t="s">
        <v>32</v>
      </c>
      <c r="K18" s="46" t="s">
        <v>100</v>
      </c>
      <c r="L18" s="46" t="s">
        <v>101</v>
      </c>
      <c r="M18" s="46"/>
      <c r="N18" s="46" t="s">
        <v>34</v>
      </c>
    </row>
    <row r="19" spans="1:20" ht="31.5" thickBot="1" x14ac:dyDescent="0.75">
      <c r="C19" s="43"/>
      <c r="D19" s="44">
        <v>-15</v>
      </c>
      <c r="E19" s="69" t="str">
        <f>IF($D$5="Average","Not Applicable",IF($D$5="Warmer","Not Applicable",IF($D$5="Colder",(minus15-16)/(Tdesignh-16),"Check Value")))</f>
        <v>Not Applicable</v>
      </c>
      <c r="F19" s="69" t="str">
        <f>IF($D$5="Average","Not Applicable",IF($D$5="Warmer","Not Applicable",IF($D$5="Colder",(minus15-16)/(Tdesignh-16),"Check Value")))</f>
        <v>Not Applicable</v>
      </c>
      <c r="G19" s="69"/>
      <c r="H19" s="44"/>
      <c r="I19" s="44"/>
      <c r="J19" s="44"/>
      <c r="K19" s="44"/>
      <c r="L19" s="44"/>
      <c r="M19" s="44"/>
      <c r="N19" s="44"/>
      <c r="P19" s="57" t="s">
        <v>71</v>
      </c>
      <c r="Q19" s="70" t="e">
        <f>IF('ErP Inputs'!D8="Low Temperature Heat Pump",IF(Q17&gt;=150,"A++",IF(AND(Q17&lt;150,Q17&gt;=123),"A+",IF(AND(Q17&lt;123,Q17&gt;=115),"A",IF(AND(Q17&lt;115,Q17&gt;=107),"B",IF(AND(Q17&lt;107,Q17&gt;=100),"C",IF(AND(Q17&lt;100,Q17&gt;=61),"D",IF(AND(Q17&lt;61,Q17&gt;=59),"E",IF(AND(Q17&lt;59,Q17&gt;=55),"F","G")))))))),IF(Q17&gt;=125,"A++",IF(AND(Q17&lt;125,Q17&gt;=98),"A+",IF(AND(Q17&lt;98,Q17&gt;=90),"A",IF(AND(Q17&lt;90,Q17&gt;=82),"B",IF(AND(Q17&lt;82,Q17&gt;=75),"C",IF(AND(Q17&lt;75,Q17&gt;=36),"D",IF(AND(Q17&lt;36,Q17&gt;=34),"E",IF(AND(Q17&lt;34,Q17&gt;=30),"F","G")))))))))</f>
        <v>#DIV/0!</v>
      </c>
    </row>
    <row r="20" spans="1:20" ht="15" thickBot="1" x14ac:dyDescent="0.4">
      <c r="C20" s="71" t="s">
        <v>15</v>
      </c>
      <c r="D20" s="71">
        <v>-7</v>
      </c>
      <c r="E20" s="44">
        <f>IF('ErP Inputs'!D4="Ground Source",0,IF('ErP Inputs'!D4="Air Source",-7,10))</f>
        <v>-7</v>
      </c>
      <c r="F20" s="71">
        <f>'ErP Inputs'!F23</f>
        <v>52</v>
      </c>
      <c r="G20" s="72">
        <f>(D20-16)/(Tdesignh-16)</f>
        <v>0.88461538461538458</v>
      </c>
      <c r="H20" s="47">
        <f>G20*$D$7</f>
        <v>0</v>
      </c>
      <c r="I20" s="47">
        <f>'ErP Inputs'!E24</f>
        <v>0</v>
      </c>
      <c r="J20" s="47">
        <f>'ErP Inputs'!E25</f>
        <v>0</v>
      </c>
      <c r="K20" s="47">
        <f>IF('ErP Inputs'!E26="",0.9,'ErP Inputs'!E26)</f>
        <v>0.9</v>
      </c>
      <c r="L20" s="47" t="e">
        <f>IF(I20&lt;H20,1,H20/I20)</f>
        <v>#DIV/0!</v>
      </c>
      <c r="M20" s="47" t="e">
        <f>L20/(K20*L20+(1-K20))</f>
        <v>#DIV/0!</v>
      </c>
      <c r="N20" s="47" t="e">
        <f>IF(L20=1,J20,J20*L20/(K20*L20+(1-K20)))</f>
        <v>#DIV/0!</v>
      </c>
    </row>
    <row r="21" spans="1:20" ht="17" thickBot="1" x14ac:dyDescent="0.4">
      <c r="C21" s="71" t="s">
        <v>16</v>
      </c>
      <c r="D21" s="71">
        <v>2</v>
      </c>
      <c r="E21" s="44">
        <f>IF('ErP Inputs'!D4="Ground Source",0,IF('ErP Inputs'!D4="Air Source",2,10))</f>
        <v>2</v>
      </c>
      <c r="F21" s="71">
        <f>'ErP Inputs'!H23</f>
        <v>42</v>
      </c>
      <c r="G21" s="72">
        <f>(D21-16)/(Tdesignh-16)</f>
        <v>0.53846153846153844</v>
      </c>
      <c r="H21" s="47">
        <f t="shared" ref="H21:H24" si="0">G21*$D$7</f>
        <v>0</v>
      </c>
      <c r="I21" s="47">
        <f>'ErP Inputs'!G24</f>
        <v>0</v>
      </c>
      <c r="J21" s="47">
        <f>'ErP Inputs'!G25</f>
        <v>0</v>
      </c>
      <c r="K21" s="47">
        <f>IF('ErP Inputs'!G26="",0.9,'ErP Inputs'!G26)</f>
        <v>0.9</v>
      </c>
      <c r="L21" s="47" t="e">
        <f t="shared" ref="L21:L24" si="1">IF(I21&lt;H21,1,H21/I21)</f>
        <v>#DIV/0!</v>
      </c>
      <c r="M21" s="47" t="e">
        <f t="shared" ref="M21:M24" si="2">L21/(K21*L21+(1-K21))</f>
        <v>#DIV/0!</v>
      </c>
      <c r="N21" s="47" t="e">
        <f t="shared" ref="N21:N24" si="3">IF(L21=1,J21,J21*L21/(K21*L21+(1-K21)))</f>
        <v>#DIV/0!</v>
      </c>
      <c r="P21" s="57" t="s">
        <v>190</v>
      </c>
      <c r="Q21" s="73" t="str">
        <f>IF(Q22=FALSE,MIN(S31:S56),"N/A")</f>
        <v>N/A</v>
      </c>
      <c r="R21" s="38" t="s">
        <v>20</v>
      </c>
    </row>
    <row r="22" spans="1:20" x14ac:dyDescent="0.35">
      <c r="C22" s="71" t="s">
        <v>17</v>
      </c>
      <c r="D22" s="71">
        <v>7</v>
      </c>
      <c r="E22" s="44">
        <f>IF('ErP Inputs'!D4="Ground Source",0,IF('ErP Inputs'!D4="Air Source",7,10))</f>
        <v>7</v>
      </c>
      <c r="F22" s="71">
        <f>'ErP Inputs'!J23</f>
        <v>36</v>
      </c>
      <c r="G22" s="72">
        <f>(D22-16)/(Tdesignh-16)</f>
        <v>0.34615384615384615</v>
      </c>
      <c r="H22" s="47">
        <f t="shared" si="0"/>
        <v>0</v>
      </c>
      <c r="I22" s="47">
        <f>'ErP Inputs'!I24</f>
        <v>0</v>
      </c>
      <c r="J22" s="47">
        <f>'ErP Inputs'!I25</f>
        <v>0</v>
      </c>
      <c r="K22" s="47">
        <f>IF('ErP Inputs'!I26="",0.9,'ErP Inputs'!I26)</f>
        <v>0.9</v>
      </c>
      <c r="L22" s="47" t="e">
        <f t="shared" si="1"/>
        <v>#DIV/0!</v>
      </c>
      <c r="M22" s="47" t="e">
        <f t="shared" si="2"/>
        <v>#DIV/0!</v>
      </c>
      <c r="N22" s="47" t="e">
        <f t="shared" si="3"/>
        <v>#DIV/0!</v>
      </c>
      <c r="Q22" s="52" t="b">
        <f>ISERROR(N27)</f>
        <v>1</v>
      </c>
    </row>
    <row r="23" spans="1:20" x14ac:dyDescent="0.35">
      <c r="C23" s="71" t="s">
        <v>18</v>
      </c>
      <c r="D23" s="71">
        <v>12</v>
      </c>
      <c r="E23" s="44">
        <f>IF('ErP Inputs'!D4="Ground Source",0,IF('ErP Inputs'!D4="Air Source",12,10))</f>
        <v>12</v>
      </c>
      <c r="F23" s="71">
        <f>'ErP Inputs'!L23</f>
        <v>30</v>
      </c>
      <c r="G23" s="72">
        <f>(D23-16)/(Tdesignh-16)</f>
        <v>0.15384615384615385</v>
      </c>
      <c r="H23" s="47">
        <f t="shared" si="0"/>
        <v>0</v>
      </c>
      <c r="I23" s="47">
        <f>'ErP Inputs'!K24</f>
        <v>0</v>
      </c>
      <c r="J23" s="47">
        <f>'ErP Inputs'!K25</f>
        <v>0</v>
      </c>
      <c r="K23" s="47">
        <f>IF('ErP Inputs'!K26="",0.9,'ErP Inputs'!K26)</f>
        <v>0.9</v>
      </c>
      <c r="L23" s="47" t="e">
        <f>IF(I23&lt;H23,1,H23/I23)</f>
        <v>#DIV/0!</v>
      </c>
      <c r="M23" s="47" t="e">
        <f t="shared" si="2"/>
        <v>#DIV/0!</v>
      </c>
      <c r="N23" s="47" t="e">
        <f t="shared" si="3"/>
        <v>#DIV/0!</v>
      </c>
    </row>
    <row r="24" spans="1:20" x14ac:dyDescent="0.35">
      <c r="C24" s="71" t="s">
        <v>166</v>
      </c>
      <c r="D24" s="71">
        <f>IF(OR('ErP Inputs'!D4="Ground Source",'ErP Inputs'!D4="Water Source"),-10,IF('ErP Inputs'!D35&gt;-7,"N/A",IF(AND('ErP Inputs'!D35&gt;=Tdesignh,'ErP Inputs'!D35&lt;=-7),'ErP Inputs'!D35,Tdesignh)))</f>
        <v>-10</v>
      </c>
      <c r="E24" s="44">
        <f>IF('ErP Inputs'!D4="Ground Source",0,IF('ErP Inputs'!D4="Air Source",D24,10))</f>
        <v>-10</v>
      </c>
      <c r="F24" s="71">
        <f>'ErP Inputs'!N23</f>
        <v>55</v>
      </c>
      <c r="G24" s="72">
        <f>(D24-16)/(Tdesignh-16)</f>
        <v>1</v>
      </c>
      <c r="H24" s="47">
        <f t="shared" si="0"/>
        <v>0</v>
      </c>
      <c r="I24" s="47">
        <f>'ErP Inputs'!M24</f>
        <v>0</v>
      </c>
      <c r="J24" s="47">
        <f>'ErP Inputs'!M25</f>
        <v>0</v>
      </c>
      <c r="K24" s="47">
        <f>IF('ErP Inputs'!M26="",0.9,'ErP Inputs'!M26)</f>
        <v>0.9</v>
      </c>
      <c r="L24" s="47" t="e">
        <f t="shared" si="1"/>
        <v>#DIV/0!</v>
      </c>
      <c r="M24" s="47" t="e">
        <f t="shared" si="2"/>
        <v>#DIV/0!</v>
      </c>
      <c r="N24" s="47" t="e">
        <f t="shared" si="3"/>
        <v>#DIV/0!</v>
      </c>
    </row>
    <row r="25" spans="1:20" x14ac:dyDescent="0.35">
      <c r="C25" s="74"/>
      <c r="D25" s="74"/>
      <c r="E25" s="74"/>
      <c r="G25" s="75"/>
      <c r="H25" s="76"/>
      <c r="I25" s="76"/>
      <c r="J25" s="76"/>
      <c r="K25" s="74"/>
      <c r="L25" s="76"/>
      <c r="M25" s="76"/>
      <c r="N25" s="76"/>
    </row>
    <row r="26" spans="1:20" ht="15" thickBot="1" x14ac:dyDescent="0.4"/>
    <row r="27" spans="1:20" ht="17" thickBot="1" x14ac:dyDescent="0.5">
      <c r="M27" s="77" t="s">
        <v>45</v>
      </c>
      <c r="N27" s="78" t="e">
        <f>N58</f>
        <v>#DIV/0!</v>
      </c>
      <c r="P27" s="77" t="s">
        <v>57</v>
      </c>
      <c r="Q27" s="78" t="e">
        <f>Q58</f>
        <v>#DIV/0!</v>
      </c>
    </row>
    <row r="28" spans="1:20" ht="52.5" customHeight="1" x14ac:dyDescent="0.45">
      <c r="C28" s="46" t="s">
        <v>35</v>
      </c>
      <c r="D28" s="67" t="s">
        <v>36</v>
      </c>
      <c r="E28" s="46" t="s">
        <v>37</v>
      </c>
      <c r="F28" s="46" t="s">
        <v>23</v>
      </c>
      <c r="G28" s="46" t="s">
        <v>29</v>
      </c>
      <c r="H28" s="67" t="s">
        <v>42</v>
      </c>
      <c r="I28" s="67" t="s">
        <v>40</v>
      </c>
      <c r="J28" s="67" t="s">
        <v>38</v>
      </c>
      <c r="K28" s="67" t="s">
        <v>41</v>
      </c>
      <c r="L28" s="67" t="s">
        <v>43</v>
      </c>
      <c r="M28" s="67" t="s">
        <v>34</v>
      </c>
      <c r="N28" s="67" t="s">
        <v>44</v>
      </c>
      <c r="P28" s="67" t="s">
        <v>46</v>
      </c>
      <c r="Q28" s="67" t="s">
        <v>48</v>
      </c>
    </row>
    <row r="29" spans="1:20" ht="16.5" x14ac:dyDescent="0.45">
      <c r="C29" s="46" t="s">
        <v>0</v>
      </c>
      <c r="D29" s="46" t="s">
        <v>54</v>
      </c>
      <c r="E29" s="46" t="s">
        <v>53</v>
      </c>
      <c r="F29" s="46"/>
      <c r="G29" s="46" t="s">
        <v>52</v>
      </c>
      <c r="H29" s="46" t="s">
        <v>51</v>
      </c>
      <c r="I29" s="46"/>
      <c r="J29" s="46"/>
      <c r="K29" s="46" t="s">
        <v>50</v>
      </c>
      <c r="L29" s="46" t="s">
        <v>49</v>
      </c>
      <c r="M29" s="67"/>
      <c r="N29" s="46" t="s">
        <v>56</v>
      </c>
      <c r="P29" s="46" t="s">
        <v>47</v>
      </c>
      <c r="Q29" s="46" t="s">
        <v>55</v>
      </c>
    </row>
    <row r="30" spans="1:20" ht="16.5" x14ac:dyDescent="0.35">
      <c r="C30" s="46"/>
      <c r="D30" s="46" t="s">
        <v>20</v>
      </c>
      <c r="E30" s="46" t="s">
        <v>4</v>
      </c>
      <c r="F30" s="46"/>
      <c r="G30" s="46" t="s">
        <v>21</v>
      </c>
      <c r="H30" s="46" t="s">
        <v>22</v>
      </c>
      <c r="I30" s="46" t="s">
        <v>21</v>
      </c>
      <c r="J30" s="46" t="s">
        <v>21</v>
      </c>
      <c r="K30" s="67" t="s">
        <v>21</v>
      </c>
      <c r="L30" s="46" t="s">
        <v>22</v>
      </c>
      <c r="M30" s="67"/>
      <c r="N30" s="46" t="s">
        <v>22</v>
      </c>
      <c r="P30" s="46" t="s">
        <v>22</v>
      </c>
      <c r="Q30" s="46" t="s">
        <v>22</v>
      </c>
    </row>
    <row r="31" spans="1:20" x14ac:dyDescent="0.35">
      <c r="C31" s="44">
        <v>21</v>
      </c>
      <c r="D31" s="44">
        <v>-10</v>
      </c>
      <c r="E31" s="44">
        <f>HLOOKUP($D$5,'Table 37'!$B$3:$F$51,24,FALSE)</f>
        <v>1</v>
      </c>
      <c r="F31" s="79">
        <f t="shared" ref="F31:F56" si="4">(D31-16)/(Tdesignh-16)</f>
        <v>1</v>
      </c>
      <c r="G31" s="79">
        <f t="shared" ref="G31:G56" si="5">$D$7*F31</f>
        <v>0</v>
      </c>
      <c r="H31" s="80">
        <f t="shared" ref="H31:H56" si="6">E31*G31</f>
        <v>0</v>
      </c>
      <c r="I31" s="81">
        <f>IF(D24&gt;D31,0,I24)</f>
        <v>0</v>
      </c>
      <c r="J31" s="81">
        <f>IF(G31&lt;I31,G31,I31)</f>
        <v>0</v>
      </c>
      <c r="K31" s="82">
        <f t="shared" ref="K31:K56" si="7">IF(G31-I31&gt;0,G31-I31,0)</f>
        <v>0</v>
      </c>
      <c r="L31" s="80">
        <f>IF(D24="N/A",#DIV/0!,K31*E31)</f>
        <v>0</v>
      </c>
      <c r="M31" s="83" t="e">
        <f>COPPL_TOL</f>
        <v>#DIV/0!</v>
      </c>
      <c r="N31" s="80">
        <f>IFERROR(E31*((G31-K31)/M31+K31),L31)</f>
        <v>0</v>
      </c>
      <c r="P31" s="80">
        <f t="shared" ref="P31:P56" si="8">E31*(G31-K31)</f>
        <v>0</v>
      </c>
      <c r="Q31" s="80">
        <f>IF(P31=0,L31,IF(F31&lt;1,E31*Q31/M31,E31*(G31-K31)/M31))</f>
        <v>0</v>
      </c>
      <c r="R31" s="52">
        <f>IF(G31=I31,D31,IF(AND(G31&gt;I31,G32&lt;I32),TRUE,FALSE))</f>
        <v>-10</v>
      </c>
      <c r="S31" s="84">
        <f>IF(R31=FALSE,"N/A",D31)</f>
        <v>-10</v>
      </c>
      <c r="T31" s="52"/>
    </row>
    <row r="32" spans="1:20" x14ac:dyDescent="0.35">
      <c r="C32" s="44">
        <v>22</v>
      </c>
      <c r="D32" s="44">
        <v>-9</v>
      </c>
      <c r="E32" s="44">
        <f>HLOOKUP($D$5,'Table 37'!$B$3:$F$51,25,FALSE)</f>
        <v>25</v>
      </c>
      <c r="F32" s="79">
        <f t="shared" si="4"/>
        <v>0.96153846153846156</v>
      </c>
      <c r="G32" s="79">
        <f t="shared" si="5"/>
        <v>0</v>
      </c>
      <c r="H32" s="80">
        <f t="shared" si="6"/>
        <v>0</v>
      </c>
      <c r="I32" s="79">
        <f>IF(D24&gt;D32,0,IF(D24=D32,I24,(($I$20-$I$24)/($D$20-$D$24)*(D32-$D$24)+$I$24)))</f>
        <v>0</v>
      </c>
      <c r="J32" s="79">
        <f>IF(I32=0,0,IF(G32&lt;(($I$20-$I$24)/($D$20-$D$24)*(D32-$D$24)+$I$24),G32,(($I$20-$I$24)/($D$20-$D$24)*(D32-$D$24)+$I$24)))</f>
        <v>0</v>
      </c>
      <c r="K32" s="82">
        <f t="shared" si="7"/>
        <v>0</v>
      </c>
      <c r="L32" s="80">
        <f t="shared" ref="L32:L56" si="9">K32*E32</f>
        <v>0</v>
      </c>
      <c r="M32" s="82" t="e">
        <f>((COPPL_a-COPPL_TOL)/($D$20-$D$24)*(D32-$D$24)+COPPL_TOL)</f>
        <v>#DIV/0!</v>
      </c>
      <c r="N32" s="80">
        <f>IFERROR(E32*((G32-K32)/M32+K32),L32)</f>
        <v>0</v>
      </c>
      <c r="P32" s="80">
        <f t="shared" si="8"/>
        <v>0</v>
      </c>
      <c r="Q32" s="80">
        <f>IF(P31=0,L32,E32*(G32-K32)/M32)</f>
        <v>0</v>
      </c>
      <c r="R32" s="52">
        <f t="shared" ref="R32:R56" si="10">IF(G32=I32,D32,IF(AND(G32&gt;I32,G33&lt;I33),TRUE,FALSE))</f>
        <v>-9</v>
      </c>
      <c r="S32" s="84">
        <f t="shared" ref="S32:S56" si="11">IF(R32=FALSE,"N/A",D32)</f>
        <v>-9</v>
      </c>
      <c r="T32" s="52"/>
    </row>
    <row r="33" spans="3:20" x14ac:dyDescent="0.35">
      <c r="C33" s="44">
        <v>23</v>
      </c>
      <c r="D33" s="44">
        <v>-8</v>
      </c>
      <c r="E33" s="44">
        <f>HLOOKUP($D$5,'Table 37'!$B$3:$F$51,26,FALSE)</f>
        <v>23</v>
      </c>
      <c r="F33" s="79">
        <f t="shared" si="4"/>
        <v>0.92307692307692313</v>
      </c>
      <c r="G33" s="79">
        <f t="shared" si="5"/>
        <v>0</v>
      </c>
      <c r="H33" s="80">
        <f t="shared" si="6"/>
        <v>0</v>
      </c>
      <c r="I33" s="79">
        <f>IF(D24&gt;D33,0,IF(D24=D33,I24,(($I$20-$I$24)/($D$20-$D$24)*(D33-$D$24)+$I$24)))</f>
        <v>0</v>
      </c>
      <c r="J33" s="79">
        <f>IF(D24&gt;=-7,0,IF(G33&lt;(($I$20-$I$24)/($D$20-$D$24)*(D33-$D$24)+$I$24),G33,(($I$20-$I$24)/($D$20-$D$24)*(D33-$D$24)+$I$24)))</f>
        <v>0</v>
      </c>
      <c r="K33" s="82">
        <f t="shared" si="7"/>
        <v>0</v>
      </c>
      <c r="L33" s="80">
        <f t="shared" si="9"/>
        <v>0</v>
      </c>
      <c r="M33" s="82" t="e">
        <f>((COPPL_a-COPPL_TOL)/($D$20-$D$24)*(D33-$D$24)+COPPL_TOL)</f>
        <v>#DIV/0!</v>
      </c>
      <c r="N33" s="80">
        <f>IFERROR(E33*((G33-K33)/M33+K33),L33)</f>
        <v>0</v>
      </c>
      <c r="P33" s="80">
        <f t="shared" si="8"/>
        <v>0</v>
      </c>
      <c r="Q33" s="80">
        <f>IF(P31=0,L33,E33*(G33-K33)/M33)</f>
        <v>0</v>
      </c>
      <c r="R33" s="52">
        <f t="shared" si="10"/>
        <v>-8</v>
      </c>
      <c r="S33" s="84">
        <f t="shared" si="11"/>
        <v>-8</v>
      </c>
      <c r="T33" s="52"/>
    </row>
    <row r="34" spans="3:20" x14ac:dyDescent="0.35">
      <c r="C34" s="44">
        <v>24</v>
      </c>
      <c r="D34" s="44">
        <v>-7</v>
      </c>
      <c r="E34" s="44">
        <f>HLOOKUP($D$5,'Table 37'!$B$3:$F$51,27,FALSE)</f>
        <v>24</v>
      </c>
      <c r="F34" s="79">
        <f t="shared" si="4"/>
        <v>0.88461538461538458</v>
      </c>
      <c r="G34" s="79">
        <f t="shared" si="5"/>
        <v>0</v>
      </c>
      <c r="H34" s="80">
        <f t="shared" si="6"/>
        <v>0</v>
      </c>
      <c r="I34" s="81">
        <f>I20</f>
        <v>0</v>
      </c>
      <c r="J34" s="81">
        <f>IF(G34&lt;I20,G34,I20)</f>
        <v>0</v>
      </c>
      <c r="K34" s="82">
        <f t="shared" si="7"/>
        <v>0</v>
      </c>
      <c r="L34" s="80">
        <f t="shared" si="9"/>
        <v>0</v>
      </c>
      <c r="M34" s="83" t="e">
        <f>COPPL_a</f>
        <v>#DIV/0!</v>
      </c>
      <c r="N34" s="80" t="e">
        <f t="shared" ref="N34:N56" si="12">E34*((G34-K34)/M34+K34)</f>
        <v>#DIV/0!</v>
      </c>
      <c r="P34" s="80">
        <f t="shared" si="8"/>
        <v>0</v>
      </c>
      <c r="Q34" s="80" t="e">
        <f t="shared" ref="Q34:Q56" si="13">E34*(G34-K34)/M34</f>
        <v>#DIV/0!</v>
      </c>
      <c r="R34" s="52">
        <f t="shared" si="10"/>
        <v>-7</v>
      </c>
      <c r="S34" s="84">
        <f t="shared" si="11"/>
        <v>-7</v>
      </c>
      <c r="T34" s="52"/>
    </row>
    <row r="35" spans="3:20" x14ac:dyDescent="0.35">
      <c r="C35" s="44">
        <v>25</v>
      </c>
      <c r="D35" s="44">
        <v>-6</v>
      </c>
      <c r="E35" s="44">
        <f>HLOOKUP($D$5,'Table 37'!$B$3:$F$51,28,FALSE)</f>
        <v>27</v>
      </c>
      <c r="F35" s="79">
        <f t="shared" si="4"/>
        <v>0.84615384615384615</v>
      </c>
      <c r="G35" s="79">
        <f t="shared" si="5"/>
        <v>0</v>
      </c>
      <c r="H35" s="80">
        <f t="shared" si="6"/>
        <v>0</v>
      </c>
      <c r="I35" s="79">
        <f t="shared" ref="I35:I42" si="14">(($I$21-$I$20)/($D$21-$D$20)*(D35-$D$20)+$I$20)</f>
        <v>0</v>
      </c>
      <c r="J35" s="79">
        <f t="shared" ref="J35:J42" si="15">IF(G35&lt;(($I$21-$I$20)/($D$21-$D$20)*(D35-$D$20)+$I$20),G35,(($I$21-$I$20)/($D$21-$D$20)*(D35-$D$20)+$I$20))</f>
        <v>0</v>
      </c>
      <c r="K35" s="82">
        <f t="shared" si="7"/>
        <v>0</v>
      </c>
      <c r="L35" s="80">
        <f t="shared" si="9"/>
        <v>0</v>
      </c>
      <c r="M35" s="82" t="e">
        <f t="shared" ref="M35:M42" si="16">((COPPL_b-COPPL_a)/($D$21-$D$20)*(D35-$D$20)+COPPL_a)</f>
        <v>#DIV/0!</v>
      </c>
      <c r="N35" s="80" t="e">
        <f t="shared" si="12"/>
        <v>#DIV/0!</v>
      </c>
      <c r="P35" s="80">
        <f t="shared" si="8"/>
        <v>0</v>
      </c>
      <c r="Q35" s="80" t="e">
        <f t="shared" si="13"/>
        <v>#DIV/0!</v>
      </c>
      <c r="R35" s="52">
        <f t="shared" si="10"/>
        <v>-6</v>
      </c>
      <c r="S35" s="84">
        <f t="shared" si="11"/>
        <v>-6</v>
      </c>
      <c r="T35" s="52"/>
    </row>
    <row r="36" spans="3:20" x14ac:dyDescent="0.35">
      <c r="C36" s="44">
        <v>26</v>
      </c>
      <c r="D36" s="44">
        <v>-5</v>
      </c>
      <c r="E36" s="44">
        <f>HLOOKUP($D$5,'Table 37'!$B$3:$F$51,29,FALSE)</f>
        <v>68</v>
      </c>
      <c r="F36" s="79">
        <f t="shared" si="4"/>
        <v>0.80769230769230771</v>
      </c>
      <c r="G36" s="79">
        <f t="shared" si="5"/>
        <v>0</v>
      </c>
      <c r="H36" s="80">
        <f t="shared" si="6"/>
        <v>0</v>
      </c>
      <c r="I36" s="79">
        <f t="shared" si="14"/>
        <v>0</v>
      </c>
      <c r="J36" s="79">
        <f t="shared" si="15"/>
        <v>0</v>
      </c>
      <c r="K36" s="82">
        <f t="shared" si="7"/>
        <v>0</v>
      </c>
      <c r="L36" s="80">
        <f t="shared" si="9"/>
        <v>0</v>
      </c>
      <c r="M36" s="82" t="e">
        <f t="shared" si="16"/>
        <v>#DIV/0!</v>
      </c>
      <c r="N36" s="80" t="e">
        <f t="shared" si="12"/>
        <v>#DIV/0!</v>
      </c>
      <c r="P36" s="80">
        <f t="shared" si="8"/>
        <v>0</v>
      </c>
      <c r="Q36" s="80" t="e">
        <f t="shared" si="13"/>
        <v>#DIV/0!</v>
      </c>
      <c r="R36" s="52">
        <f t="shared" si="10"/>
        <v>-5</v>
      </c>
      <c r="S36" s="84">
        <f t="shared" si="11"/>
        <v>-5</v>
      </c>
      <c r="T36" s="52"/>
    </row>
    <row r="37" spans="3:20" x14ac:dyDescent="0.35">
      <c r="C37" s="44">
        <v>27</v>
      </c>
      <c r="D37" s="44">
        <v>-4</v>
      </c>
      <c r="E37" s="44">
        <f>HLOOKUP($D$5,'Table 37'!$B$3:$F$51,30,FALSE)</f>
        <v>91</v>
      </c>
      <c r="F37" s="79">
        <f t="shared" si="4"/>
        <v>0.76923076923076927</v>
      </c>
      <c r="G37" s="79">
        <f t="shared" si="5"/>
        <v>0</v>
      </c>
      <c r="H37" s="80">
        <f t="shared" si="6"/>
        <v>0</v>
      </c>
      <c r="I37" s="79">
        <f t="shared" si="14"/>
        <v>0</v>
      </c>
      <c r="J37" s="79">
        <f t="shared" si="15"/>
        <v>0</v>
      </c>
      <c r="K37" s="82">
        <f t="shared" si="7"/>
        <v>0</v>
      </c>
      <c r="L37" s="80">
        <f t="shared" si="9"/>
        <v>0</v>
      </c>
      <c r="M37" s="82" t="e">
        <f t="shared" si="16"/>
        <v>#DIV/0!</v>
      </c>
      <c r="N37" s="80" t="e">
        <f t="shared" si="12"/>
        <v>#DIV/0!</v>
      </c>
      <c r="P37" s="80">
        <f t="shared" si="8"/>
        <v>0</v>
      </c>
      <c r="Q37" s="80" t="e">
        <f t="shared" si="13"/>
        <v>#DIV/0!</v>
      </c>
      <c r="R37" s="52">
        <f t="shared" si="10"/>
        <v>-4</v>
      </c>
      <c r="S37" s="84">
        <f t="shared" si="11"/>
        <v>-4</v>
      </c>
      <c r="T37" s="52"/>
    </row>
    <row r="38" spans="3:20" x14ac:dyDescent="0.35">
      <c r="C38" s="44">
        <v>28</v>
      </c>
      <c r="D38" s="44">
        <v>-3</v>
      </c>
      <c r="E38" s="44">
        <f>HLOOKUP($D$5,'Table 37'!$B$3:$F$51,31,FALSE)</f>
        <v>89</v>
      </c>
      <c r="F38" s="79">
        <f t="shared" si="4"/>
        <v>0.73076923076923073</v>
      </c>
      <c r="G38" s="79">
        <f t="shared" si="5"/>
        <v>0</v>
      </c>
      <c r="H38" s="80">
        <f t="shared" si="6"/>
        <v>0</v>
      </c>
      <c r="I38" s="79">
        <f t="shared" si="14"/>
        <v>0</v>
      </c>
      <c r="J38" s="79">
        <f t="shared" si="15"/>
        <v>0</v>
      </c>
      <c r="K38" s="82">
        <f t="shared" si="7"/>
        <v>0</v>
      </c>
      <c r="L38" s="80">
        <f t="shared" si="9"/>
        <v>0</v>
      </c>
      <c r="M38" s="82" t="e">
        <f t="shared" si="16"/>
        <v>#DIV/0!</v>
      </c>
      <c r="N38" s="80" t="e">
        <f t="shared" si="12"/>
        <v>#DIV/0!</v>
      </c>
      <c r="P38" s="80">
        <f t="shared" si="8"/>
        <v>0</v>
      </c>
      <c r="Q38" s="80" t="e">
        <f t="shared" si="13"/>
        <v>#DIV/0!</v>
      </c>
      <c r="R38" s="52">
        <f t="shared" si="10"/>
        <v>-3</v>
      </c>
      <c r="S38" s="84">
        <f t="shared" si="11"/>
        <v>-3</v>
      </c>
      <c r="T38" s="52"/>
    </row>
    <row r="39" spans="3:20" x14ac:dyDescent="0.35">
      <c r="C39" s="44">
        <v>29</v>
      </c>
      <c r="D39" s="44">
        <v>-2</v>
      </c>
      <c r="E39" s="44">
        <f>HLOOKUP($D$5,'Table 37'!$B$3:$F$51,32,FALSE)</f>
        <v>165</v>
      </c>
      <c r="F39" s="79">
        <f t="shared" si="4"/>
        <v>0.69230769230769229</v>
      </c>
      <c r="G39" s="79">
        <f t="shared" si="5"/>
        <v>0</v>
      </c>
      <c r="H39" s="80">
        <f t="shared" si="6"/>
        <v>0</v>
      </c>
      <c r="I39" s="79">
        <f t="shared" si="14"/>
        <v>0</v>
      </c>
      <c r="J39" s="79">
        <f t="shared" si="15"/>
        <v>0</v>
      </c>
      <c r="K39" s="82">
        <f t="shared" si="7"/>
        <v>0</v>
      </c>
      <c r="L39" s="80">
        <f t="shared" si="9"/>
        <v>0</v>
      </c>
      <c r="M39" s="82" t="e">
        <f t="shared" si="16"/>
        <v>#DIV/0!</v>
      </c>
      <c r="N39" s="80" t="e">
        <f t="shared" si="12"/>
        <v>#DIV/0!</v>
      </c>
      <c r="P39" s="80">
        <f t="shared" si="8"/>
        <v>0</v>
      </c>
      <c r="Q39" s="80" t="e">
        <f t="shared" si="13"/>
        <v>#DIV/0!</v>
      </c>
      <c r="R39" s="52">
        <f t="shared" si="10"/>
        <v>-2</v>
      </c>
      <c r="S39" s="84">
        <f t="shared" si="11"/>
        <v>-2</v>
      </c>
      <c r="T39" s="52"/>
    </row>
    <row r="40" spans="3:20" x14ac:dyDescent="0.35">
      <c r="C40" s="44">
        <v>30</v>
      </c>
      <c r="D40" s="44">
        <v>-1</v>
      </c>
      <c r="E40" s="44">
        <f>HLOOKUP($D$5,'Table 37'!$B$3:$F$51,33,FALSE)</f>
        <v>173</v>
      </c>
      <c r="F40" s="79">
        <f t="shared" si="4"/>
        <v>0.65384615384615385</v>
      </c>
      <c r="G40" s="79">
        <f t="shared" si="5"/>
        <v>0</v>
      </c>
      <c r="H40" s="80">
        <f t="shared" si="6"/>
        <v>0</v>
      </c>
      <c r="I40" s="79">
        <f t="shared" si="14"/>
        <v>0</v>
      </c>
      <c r="J40" s="79">
        <f t="shared" si="15"/>
        <v>0</v>
      </c>
      <c r="K40" s="82">
        <f t="shared" si="7"/>
        <v>0</v>
      </c>
      <c r="L40" s="80">
        <f t="shared" si="9"/>
        <v>0</v>
      </c>
      <c r="M40" s="82" t="e">
        <f t="shared" si="16"/>
        <v>#DIV/0!</v>
      </c>
      <c r="N40" s="80" t="e">
        <f t="shared" si="12"/>
        <v>#DIV/0!</v>
      </c>
      <c r="P40" s="80">
        <f t="shared" si="8"/>
        <v>0</v>
      </c>
      <c r="Q40" s="80" t="e">
        <f t="shared" si="13"/>
        <v>#DIV/0!</v>
      </c>
      <c r="R40" s="52">
        <f t="shared" si="10"/>
        <v>-1</v>
      </c>
      <c r="S40" s="84">
        <f t="shared" si="11"/>
        <v>-1</v>
      </c>
      <c r="T40" s="52"/>
    </row>
    <row r="41" spans="3:20" x14ac:dyDescent="0.35">
      <c r="C41" s="44">
        <v>31</v>
      </c>
      <c r="D41" s="44">
        <v>0</v>
      </c>
      <c r="E41" s="44">
        <f>HLOOKUP($D$5,'Table 37'!$B$3:$F$51,34,FALSE)</f>
        <v>240</v>
      </c>
      <c r="F41" s="79">
        <f t="shared" si="4"/>
        <v>0.61538461538461542</v>
      </c>
      <c r="G41" s="79">
        <f t="shared" si="5"/>
        <v>0</v>
      </c>
      <c r="H41" s="80">
        <f t="shared" si="6"/>
        <v>0</v>
      </c>
      <c r="I41" s="79">
        <f t="shared" si="14"/>
        <v>0</v>
      </c>
      <c r="J41" s="79">
        <f t="shared" si="15"/>
        <v>0</v>
      </c>
      <c r="K41" s="82">
        <f t="shared" si="7"/>
        <v>0</v>
      </c>
      <c r="L41" s="80">
        <f t="shared" si="9"/>
        <v>0</v>
      </c>
      <c r="M41" s="82" t="e">
        <f t="shared" si="16"/>
        <v>#DIV/0!</v>
      </c>
      <c r="N41" s="80" t="e">
        <f t="shared" si="12"/>
        <v>#DIV/0!</v>
      </c>
      <c r="P41" s="80">
        <f t="shared" si="8"/>
        <v>0</v>
      </c>
      <c r="Q41" s="80" t="e">
        <f t="shared" si="13"/>
        <v>#DIV/0!</v>
      </c>
      <c r="R41" s="52">
        <f t="shared" si="10"/>
        <v>0</v>
      </c>
      <c r="S41" s="84">
        <f t="shared" si="11"/>
        <v>0</v>
      </c>
      <c r="T41" s="52"/>
    </row>
    <row r="42" spans="3:20" x14ac:dyDescent="0.35">
      <c r="C42" s="44">
        <v>32</v>
      </c>
      <c r="D42" s="44">
        <v>1</v>
      </c>
      <c r="E42" s="44">
        <f>HLOOKUP($D$5,'Table 37'!$B$3:$F$51,35,FALSE)</f>
        <v>280</v>
      </c>
      <c r="F42" s="79">
        <f t="shared" si="4"/>
        <v>0.57692307692307687</v>
      </c>
      <c r="G42" s="79">
        <f t="shared" si="5"/>
        <v>0</v>
      </c>
      <c r="H42" s="80">
        <f t="shared" si="6"/>
        <v>0</v>
      </c>
      <c r="I42" s="79">
        <f t="shared" si="14"/>
        <v>0</v>
      </c>
      <c r="J42" s="79">
        <f t="shared" si="15"/>
        <v>0</v>
      </c>
      <c r="K42" s="82">
        <f t="shared" si="7"/>
        <v>0</v>
      </c>
      <c r="L42" s="80">
        <f t="shared" si="9"/>
        <v>0</v>
      </c>
      <c r="M42" s="82" t="e">
        <f t="shared" si="16"/>
        <v>#DIV/0!</v>
      </c>
      <c r="N42" s="80" t="e">
        <f t="shared" si="12"/>
        <v>#DIV/0!</v>
      </c>
      <c r="P42" s="80">
        <f t="shared" si="8"/>
        <v>0</v>
      </c>
      <c r="Q42" s="80" t="e">
        <f t="shared" si="13"/>
        <v>#DIV/0!</v>
      </c>
      <c r="R42" s="52">
        <f t="shared" si="10"/>
        <v>1</v>
      </c>
      <c r="S42" s="84">
        <f t="shared" si="11"/>
        <v>1</v>
      </c>
      <c r="T42" s="52"/>
    </row>
    <row r="43" spans="3:20" x14ac:dyDescent="0.35">
      <c r="C43" s="44">
        <v>33</v>
      </c>
      <c r="D43" s="44">
        <v>2</v>
      </c>
      <c r="E43" s="44">
        <f>HLOOKUP($D$5,'Table 37'!$B$3:$F$51,36,FALSE)</f>
        <v>320</v>
      </c>
      <c r="F43" s="79">
        <f t="shared" si="4"/>
        <v>0.53846153846153844</v>
      </c>
      <c r="G43" s="79">
        <f t="shared" si="5"/>
        <v>0</v>
      </c>
      <c r="H43" s="80">
        <f t="shared" si="6"/>
        <v>0</v>
      </c>
      <c r="I43" s="81">
        <f>I21</f>
        <v>0</v>
      </c>
      <c r="J43" s="81">
        <f>IF(G43&lt;I21,G43,I21)</f>
        <v>0</v>
      </c>
      <c r="K43" s="82">
        <f t="shared" si="7"/>
        <v>0</v>
      </c>
      <c r="L43" s="80">
        <f t="shared" si="9"/>
        <v>0</v>
      </c>
      <c r="M43" s="83" t="e">
        <f>COPPL_b</f>
        <v>#DIV/0!</v>
      </c>
      <c r="N43" s="80" t="e">
        <f t="shared" si="12"/>
        <v>#DIV/0!</v>
      </c>
      <c r="P43" s="80">
        <f t="shared" si="8"/>
        <v>0</v>
      </c>
      <c r="Q43" s="80" t="e">
        <f t="shared" si="13"/>
        <v>#DIV/0!</v>
      </c>
      <c r="R43" s="52">
        <f t="shared" si="10"/>
        <v>2</v>
      </c>
      <c r="S43" s="84">
        <f t="shared" si="11"/>
        <v>2</v>
      </c>
      <c r="T43" s="52"/>
    </row>
    <row r="44" spans="3:20" x14ac:dyDescent="0.35">
      <c r="C44" s="44">
        <v>34</v>
      </c>
      <c r="D44" s="44">
        <v>3</v>
      </c>
      <c r="E44" s="44">
        <f>HLOOKUP($D$5,'Table 37'!$B$3:$F$51,37,FALSE)</f>
        <v>357</v>
      </c>
      <c r="F44" s="79">
        <f t="shared" si="4"/>
        <v>0.5</v>
      </c>
      <c r="G44" s="79">
        <f t="shared" si="5"/>
        <v>0</v>
      </c>
      <c r="H44" s="80">
        <f t="shared" si="6"/>
        <v>0</v>
      </c>
      <c r="I44" s="79">
        <f>(($I$22-$I$21)/($D$22-$D$21)*(D44-$D$21)+$I$21)</f>
        <v>0</v>
      </c>
      <c r="J44" s="79">
        <f>IF(G44&lt;(($I$22-$I$21)/($D$22-$D$21)*(D44-$D$21)+$I$21),G44,(($I$22-$I$21)/($D$22-$D$21)*(D44-$D$21)+$I$21))</f>
        <v>0</v>
      </c>
      <c r="K44" s="82">
        <f t="shared" si="7"/>
        <v>0</v>
      </c>
      <c r="L44" s="80">
        <f t="shared" si="9"/>
        <v>0</v>
      </c>
      <c r="M44" s="82" t="e">
        <f>((COPPL_c-COPPL_b)/($D$22-$D$21)*(D44-$D$21)+COPPL_b)</f>
        <v>#DIV/0!</v>
      </c>
      <c r="N44" s="80" t="e">
        <f t="shared" si="12"/>
        <v>#DIV/0!</v>
      </c>
      <c r="P44" s="80">
        <f t="shared" si="8"/>
        <v>0</v>
      </c>
      <c r="Q44" s="80" t="e">
        <f t="shared" si="13"/>
        <v>#DIV/0!</v>
      </c>
      <c r="R44" s="52">
        <f t="shared" si="10"/>
        <v>3</v>
      </c>
      <c r="S44" s="84">
        <f t="shared" si="11"/>
        <v>3</v>
      </c>
      <c r="T44" s="52"/>
    </row>
    <row r="45" spans="3:20" x14ac:dyDescent="0.35">
      <c r="C45" s="44">
        <v>35</v>
      </c>
      <c r="D45" s="44">
        <v>4</v>
      </c>
      <c r="E45" s="44">
        <f>HLOOKUP($D$5,'Table 37'!$B$3:$F$51,38,FALSE)</f>
        <v>356</v>
      </c>
      <c r="F45" s="79">
        <f t="shared" si="4"/>
        <v>0.46153846153846156</v>
      </c>
      <c r="G45" s="79">
        <f t="shared" si="5"/>
        <v>0</v>
      </c>
      <c r="H45" s="80">
        <f t="shared" si="6"/>
        <v>0</v>
      </c>
      <c r="I45" s="79">
        <f>(($I$22-$I$21)/($D$22-$D$21)*(D45-$D$21)+$I$21)</f>
        <v>0</v>
      </c>
      <c r="J45" s="79">
        <f>IF(G45&lt;(($I$22-$I$21)/($D$22-$D$21)*(D45-$D$21)+$I$21),G45,(($I$22-$I$21)/($D$22-$D$21)*(D45-$D$21)+$I$21))</f>
        <v>0</v>
      </c>
      <c r="K45" s="82">
        <f t="shared" si="7"/>
        <v>0</v>
      </c>
      <c r="L45" s="80">
        <f t="shared" si="9"/>
        <v>0</v>
      </c>
      <c r="M45" s="82" t="e">
        <f>((COPPL_c-COPPL_b)/($D$22-$D$21)*(D45-$D$21)+COPPL_b)</f>
        <v>#DIV/0!</v>
      </c>
      <c r="N45" s="80" t="e">
        <f t="shared" si="12"/>
        <v>#DIV/0!</v>
      </c>
      <c r="P45" s="80">
        <f t="shared" si="8"/>
        <v>0</v>
      </c>
      <c r="Q45" s="80" t="e">
        <f t="shared" si="13"/>
        <v>#DIV/0!</v>
      </c>
      <c r="R45" s="52">
        <f t="shared" si="10"/>
        <v>4</v>
      </c>
      <c r="S45" s="84">
        <f t="shared" si="11"/>
        <v>4</v>
      </c>
      <c r="T45" s="52"/>
    </row>
    <row r="46" spans="3:20" x14ac:dyDescent="0.35">
      <c r="C46" s="44">
        <v>36</v>
      </c>
      <c r="D46" s="44">
        <v>5</v>
      </c>
      <c r="E46" s="44">
        <f>HLOOKUP($D$5,'Table 37'!$B$3:$F$51,39,FALSE)</f>
        <v>303</v>
      </c>
      <c r="F46" s="79">
        <f t="shared" si="4"/>
        <v>0.42307692307692307</v>
      </c>
      <c r="G46" s="79">
        <f t="shared" si="5"/>
        <v>0</v>
      </c>
      <c r="H46" s="80">
        <f t="shared" si="6"/>
        <v>0</v>
      </c>
      <c r="I46" s="79">
        <f>(($I$22-$I$21)/($D$22-$D$21)*(D46-$D$21)+$I$21)</f>
        <v>0</v>
      </c>
      <c r="J46" s="79">
        <f>IF(G46&lt;(($I$22-$I$21)/($D$22-$D$21)*(D46-$D$21)+$I$21),G46,(($I$22-$I$21)/($D$22-$D$21)*(D46-$D$21)+$I$21))</f>
        <v>0</v>
      </c>
      <c r="K46" s="82">
        <f t="shared" si="7"/>
        <v>0</v>
      </c>
      <c r="L46" s="80">
        <f t="shared" si="9"/>
        <v>0</v>
      </c>
      <c r="M46" s="82" t="e">
        <f>((COPPL_c-COPPL_b)/($D$22-$D$21)*(D46-$D$21)+COPPL_b)</f>
        <v>#DIV/0!</v>
      </c>
      <c r="N46" s="80" t="e">
        <f t="shared" si="12"/>
        <v>#DIV/0!</v>
      </c>
      <c r="P46" s="80">
        <f t="shared" si="8"/>
        <v>0</v>
      </c>
      <c r="Q46" s="80" t="e">
        <f t="shared" si="13"/>
        <v>#DIV/0!</v>
      </c>
      <c r="R46" s="52">
        <f t="shared" si="10"/>
        <v>5</v>
      </c>
      <c r="S46" s="84">
        <f t="shared" si="11"/>
        <v>5</v>
      </c>
      <c r="T46" s="52"/>
    </row>
    <row r="47" spans="3:20" x14ac:dyDescent="0.35">
      <c r="C47" s="44">
        <v>37</v>
      </c>
      <c r="D47" s="44">
        <v>6</v>
      </c>
      <c r="E47" s="44">
        <f>HLOOKUP($D$5,'Table 37'!$B$3:$F$51,40,FALSE)</f>
        <v>330</v>
      </c>
      <c r="F47" s="79">
        <f t="shared" si="4"/>
        <v>0.38461538461538464</v>
      </c>
      <c r="G47" s="79">
        <f t="shared" si="5"/>
        <v>0</v>
      </c>
      <c r="H47" s="80">
        <f t="shared" si="6"/>
        <v>0</v>
      </c>
      <c r="I47" s="79">
        <f>(($I$22-$I$21)/($D$22-$D$21)*(D47-$D$21)+$I$21)</f>
        <v>0</v>
      </c>
      <c r="J47" s="79">
        <f>IF(G47&lt;(($I$22-$I$21)/($D$22-$D$21)*(D47-$D$21)+$I$21),G47,(($I$22-$I$21)/($D$22-$D$21)*(D47-$D$21)+$I$21))</f>
        <v>0</v>
      </c>
      <c r="K47" s="82">
        <f t="shared" si="7"/>
        <v>0</v>
      </c>
      <c r="L47" s="80">
        <f t="shared" si="9"/>
        <v>0</v>
      </c>
      <c r="M47" s="82" t="e">
        <f>((COPPL_c-COPPL_b)/($D$22-$D$21)*(D47-$D$21)+COPPL_b)</f>
        <v>#DIV/0!</v>
      </c>
      <c r="N47" s="80" t="e">
        <f t="shared" si="12"/>
        <v>#DIV/0!</v>
      </c>
      <c r="P47" s="80">
        <f t="shared" si="8"/>
        <v>0</v>
      </c>
      <c r="Q47" s="80" t="e">
        <f t="shared" si="13"/>
        <v>#DIV/0!</v>
      </c>
      <c r="R47" s="52">
        <f t="shared" si="10"/>
        <v>6</v>
      </c>
      <c r="S47" s="84">
        <f t="shared" si="11"/>
        <v>6</v>
      </c>
      <c r="T47" s="52"/>
    </row>
    <row r="48" spans="3:20" x14ac:dyDescent="0.35">
      <c r="C48" s="44">
        <v>38</v>
      </c>
      <c r="D48" s="44">
        <v>7</v>
      </c>
      <c r="E48" s="44">
        <f>HLOOKUP($D$5,'Table 37'!$B$3:$F$51,41,FALSE)</f>
        <v>326</v>
      </c>
      <c r="F48" s="79">
        <f t="shared" si="4"/>
        <v>0.34615384615384615</v>
      </c>
      <c r="G48" s="79">
        <f t="shared" si="5"/>
        <v>0</v>
      </c>
      <c r="H48" s="80">
        <f t="shared" si="6"/>
        <v>0</v>
      </c>
      <c r="I48" s="81">
        <f>I22</f>
        <v>0</v>
      </c>
      <c r="J48" s="81">
        <f>IF(G48&lt;I22,G48,I22)</f>
        <v>0</v>
      </c>
      <c r="K48" s="82">
        <f t="shared" si="7"/>
        <v>0</v>
      </c>
      <c r="L48" s="80">
        <f t="shared" si="9"/>
        <v>0</v>
      </c>
      <c r="M48" s="83" t="e">
        <f>COPPL_c</f>
        <v>#DIV/0!</v>
      </c>
      <c r="N48" s="80" t="e">
        <f t="shared" si="12"/>
        <v>#DIV/0!</v>
      </c>
      <c r="P48" s="80">
        <f t="shared" si="8"/>
        <v>0</v>
      </c>
      <c r="Q48" s="80" t="e">
        <f t="shared" si="13"/>
        <v>#DIV/0!</v>
      </c>
      <c r="R48" s="52">
        <f t="shared" si="10"/>
        <v>7</v>
      </c>
      <c r="S48" s="84">
        <f t="shared" si="11"/>
        <v>7</v>
      </c>
      <c r="T48" s="52"/>
    </row>
    <row r="49" spans="3:24" x14ac:dyDescent="0.35">
      <c r="C49" s="44">
        <v>39</v>
      </c>
      <c r="D49" s="44">
        <v>8</v>
      </c>
      <c r="E49" s="44">
        <f>HLOOKUP($D$5,'Table 37'!$B$3:$F$51,42,FALSE)</f>
        <v>348</v>
      </c>
      <c r="F49" s="79">
        <f t="shared" si="4"/>
        <v>0.30769230769230771</v>
      </c>
      <c r="G49" s="79">
        <f t="shared" si="5"/>
        <v>0</v>
      </c>
      <c r="H49" s="80">
        <f t="shared" si="6"/>
        <v>0</v>
      </c>
      <c r="I49" s="79">
        <f>(($I$23-$I$22)/($D$23-$D$22)*(D49-$D$22)+$I$22)</f>
        <v>0</v>
      </c>
      <c r="J49" s="79">
        <f>IF(G49&lt;(($I$23-$I$22)/($D$23-$D$22)*(D49-$D$22)+$I$22),G49,((($I$23-$I$22)/($D$23-$D$22)*(D49-$D$22)+$I$22)))</f>
        <v>0</v>
      </c>
      <c r="K49" s="82">
        <f t="shared" si="7"/>
        <v>0</v>
      </c>
      <c r="L49" s="80">
        <f t="shared" si="9"/>
        <v>0</v>
      </c>
      <c r="M49" s="82" t="e">
        <f>((COPPL_d-COPPL_c)/($D$23-$D$22)*(D49-$D$22)+COPPL_c)</f>
        <v>#DIV/0!</v>
      </c>
      <c r="N49" s="80" t="e">
        <f t="shared" si="12"/>
        <v>#DIV/0!</v>
      </c>
      <c r="P49" s="80">
        <f t="shared" si="8"/>
        <v>0</v>
      </c>
      <c r="Q49" s="80" t="e">
        <f t="shared" si="13"/>
        <v>#DIV/0!</v>
      </c>
      <c r="R49" s="52">
        <f t="shared" si="10"/>
        <v>8</v>
      </c>
      <c r="S49" s="84">
        <f t="shared" si="11"/>
        <v>8</v>
      </c>
      <c r="T49" s="52"/>
    </row>
    <row r="50" spans="3:24" x14ac:dyDescent="0.35">
      <c r="C50" s="44">
        <v>40</v>
      </c>
      <c r="D50" s="44">
        <v>9</v>
      </c>
      <c r="E50" s="44">
        <f>HLOOKUP($D$5,'Table 37'!$B$3:$F$51,43,FALSE)</f>
        <v>335</v>
      </c>
      <c r="F50" s="79">
        <f t="shared" si="4"/>
        <v>0.26923076923076922</v>
      </c>
      <c r="G50" s="79">
        <f t="shared" si="5"/>
        <v>0</v>
      </c>
      <c r="H50" s="80">
        <f t="shared" si="6"/>
        <v>0</v>
      </c>
      <c r="I50" s="79">
        <f>(($I$23-$I$22)/($D$23-$D$22)*(D50-$D$22)+$I$22)</f>
        <v>0</v>
      </c>
      <c r="J50" s="79">
        <f>IF(G50&lt;(($I$23-$I$22)/($D$23-$D$22)*(D50-$D$22)+$I$22),G50,((($I$23-$I$22)/($D$23-$D$22)*(D50-$D$22)+$I$22)))</f>
        <v>0</v>
      </c>
      <c r="K50" s="82">
        <f t="shared" si="7"/>
        <v>0</v>
      </c>
      <c r="L50" s="80">
        <f t="shared" si="9"/>
        <v>0</v>
      </c>
      <c r="M50" s="82" t="e">
        <f>((COPPL_d-COPPL_c)/($D$23-$D$22)*(D50-$D$22)+COPPL_c)</f>
        <v>#DIV/0!</v>
      </c>
      <c r="N50" s="80" t="e">
        <f t="shared" si="12"/>
        <v>#DIV/0!</v>
      </c>
      <c r="P50" s="80">
        <f t="shared" si="8"/>
        <v>0</v>
      </c>
      <c r="Q50" s="80" t="e">
        <f t="shared" si="13"/>
        <v>#DIV/0!</v>
      </c>
      <c r="R50" s="52">
        <f t="shared" si="10"/>
        <v>9</v>
      </c>
      <c r="S50" s="84">
        <f t="shared" si="11"/>
        <v>9</v>
      </c>
      <c r="T50" s="52"/>
    </row>
    <row r="51" spans="3:24" x14ac:dyDescent="0.35">
      <c r="C51" s="44">
        <v>41</v>
      </c>
      <c r="D51" s="44">
        <v>10</v>
      </c>
      <c r="E51" s="44">
        <f>HLOOKUP($D$5,'Table 37'!$B$3:$F$51,44,FALSE)</f>
        <v>315</v>
      </c>
      <c r="F51" s="79">
        <f t="shared" si="4"/>
        <v>0.23076923076923078</v>
      </c>
      <c r="G51" s="79">
        <f t="shared" si="5"/>
        <v>0</v>
      </c>
      <c r="H51" s="80">
        <f t="shared" si="6"/>
        <v>0</v>
      </c>
      <c r="I51" s="79">
        <f>(($I$23-$I$22)/($D$23-$D$22)*(D51-$D$22)+$I$22)</f>
        <v>0</v>
      </c>
      <c r="J51" s="79">
        <f>IF(G51&lt;(($I$23-$I$22)/($D$23-$D$22)*(D51-$D$22)+$I$22),G51,((($I$23-$I$22)/($D$23-$D$22)*(D51-$D$22)+$I$22)))</f>
        <v>0</v>
      </c>
      <c r="K51" s="82">
        <f t="shared" si="7"/>
        <v>0</v>
      </c>
      <c r="L51" s="80">
        <f t="shared" si="9"/>
        <v>0</v>
      </c>
      <c r="M51" s="82" t="e">
        <f>((COPPL_d-COPPL_c)/($D$23-$D$22)*(D51-$D$22)+COPPL_c)</f>
        <v>#DIV/0!</v>
      </c>
      <c r="N51" s="80" t="e">
        <f t="shared" si="12"/>
        <v>#DIV/0!</v>
      </c>
      <c r="P51" s="80">
        <f t="shared" si="8"/>
        <v>0</v>
      </c>
      <c r="Q51" s="80" t="e">
        <f t="shared" si="13"/>
        <v>#DIV/0!</v>
      </c>
      <c r="R51" s="52">
        <f t="shared" si="10"/>
        <v>10</v>
      </c>
      <c r="S51" s="84">
        <f t="shared" si="11"/>
        <v>10</v>
      </c>
      <c r="T51" s="52"/>
    </row>
    <row r="52" spans="3:24" x14ac:dyDescent="0.35">
      <c r="C52" s="44">
        <v>42</v>
      </c>
      <c r="D52" s="44">
        <v>11</v>
      </c>
      <c r="E52" s="44">
        <f>HLOOKUP($D$5,'Table 37'!$B$3:$F$51,45,FALSE)</f>
        <v>215</v>
      </c>
      <c r="F52" s="79">
        <f t="shared" si="4"/>
        <v>0.19230769230769232</v>
      </c>
      <c r="G52" s="79">
        <f t="shared" si="5"/>
        <v>0</v>
      </c>
      <c r="H52" s="80">
        <f t="shared" si="6"/>
        <v>0</v>
      </c>
      <c r="I52" s="79">
        <f>(($I$23-$I$22)/($D$23-$D$22)*(D52-$D$22)+$I$22)</f>
        <v>0</v>
      </c>
      <c r="J52" s="79">
        <f>IF(G52&lt;(($I$23-$I$22)/($D$23-$D$22)*(D52-$D$22)+$I$22),G52,((($I$23-$I$22)/($D$23-$D$22)*(D52-$D$22)+$I$22)))</f>
        <v>0</v>
      </c>
      <c r="K52" s="82">
        <f t="shared" si="7"/>
        <v>0</v>
      </c>
      <c r="L52" s="80">
        <f t="shared" si="9"/>
        <v>0</v>
      </c>
      <c r="M52" s="82" t="e">
        <f>((COPPL_d-COPPL_c)/($D$23-$D$22)*(D52-$D$22)+COPPL_c)</f>
        <v>#DIV/0!</v>
      </c>
      <c r="N52" s="80" t="e">
        <f t="shared" si="12"/>
        <v>#DIV/0!</v>
      </c>
      <c r="P52" s="80">
        <f t="shared" si="8"/>
        <v>0</v>
      </c>
      <c r="Q52" s="80" t="e">
        <f t="shared" si="13"/>
        <v>#DIV/0!</v>
      </c>
      <c r="R52" s="52">
        <f t="shared" si="10"/>
        <v>11</v>
      </c>
      <c r="S52" s="84">
        <f t="shared" si="11"/>
        <v>11</v>
      </c>
      <c r="T52" s="52"/>
    </row>
    <row r="53" spans="3:24" x14ac:dyDescent="0.35">
      <c r="C53" s="44">
        <v>43</v>
      </c>
      <c r="D53" s="44">
        <v>12</v>
      </c>
      <c r="E53" s="44">
        <f>HLOOKUP($D$5,'Table 37'!$B$3:$F$51,46,FALSE)</f>
        <v>169</v>
      </c>
      <c r="F53" s="79">
        <f t="shared" si="4"/>
        <v>0.15384615384615385</v>
      </c>
      <c r="G53" s="79">
        <f t="shared" si="5"/>
        <v>0</v>
      </c>
      <c r="H53" s="80">
        <f t="shared" si="6"/>
        <v>0</v>
      </c>
      <c r="I53" s="81">
        <f>I23</f>
        <v>0</v>
      </c>
      <c r="J53" s="81">
        <f>IF(G53&lt;I23,G53,I23)</f>
        <v>0</v>
      </c>
      <c r="K53" s="82">
        <f t="shared" si="7"/>
        <v>0</v>
      </c>
      <c r="L53" s="80">
        <f t="shared" si="9"/>
        <v>0</v>
      </c>
      <c r="M53" s="83" t="e">
        <f>COPPL_d</f>
        <v>#DIV/0!</v>
      </c>
      <c r="N53" s="80" t="e">
        <f t="shared" si="12"/>
        <v>#DIV/0!</v>
      </c>
      <c r="P53" s="80">
        <f t="shared" si="8"/>
        <v>0</v>
      </c>
      <c r="Q53" s="80" t="e">
        <f t="shared" si="13"/>
        <v>#DIV/0!</v>
      </c>
      <c r="R53" s="52">
        <f t="shared" si="10"/>
        <v>12</v>
      </c>
      <c r="S53" s="84">
        <f t="shared" si="11"/>
        <v>12</v>
      </c>
      <c r="T53" s="52"/>
    </row>
    <row r="54" spans="3:24" x14ac:dyDescent="0.35">
      <c r="C54" s="44">
        <v>44</v>
      </c>
      <c r="D54" s="44">
        <v>13</v>
      </c>
      <c r="E54" s="44">
        <f>HLOOKUP($D$5,'Table 37'!$B$3:$F$51,47,FALSE)</f>
        <v>151</v>
      </c>
      <c r="F54" s="79">
        <f t="shared" si="4"/>
        <v>0.11538461538461539</v>
      </c>
      <c r="G54" s="79">
        <f t="shared" si="5"/>
        <v>0</v>
      </c>
      <c r="H54" s="80">
        <f t="shared" si="6"/>
        <v>0</v>
      </c>
      <c r="I54" s="79">
        <f>(($I$23-$I$22)/($D$23-$D$22)*(D54-$D$22)+$I$22)</f>
        <v>0</v>
      </c>
      <c r="J54" s="79">
        <f>IF(G54&lt;(($I$23-$I$22)/($D$23-$D$22)*(D54-$D$22)+$I$22),G54,((($I$23-$I$22)/($D$23-$D$22)*(D54-$D$22)+$I$22)))</f>
        <v>0</v>
      </c>
      <c r="K54" s="82">
        <f t="shared" si="7"/>
        <v>0</v>
      </c>
      <c r="L54" s="80">
        <f t="shared" si="9"/>
        <v>0</v>
      </c>
      <c r="M54" s="82" t="e">
        <f>((COPPL_d-COPPL_c)/($D$23-$D$22)*(D54-$D$22)+COPPL_c)</f>
        <v>#DIV/0!</v>
      </c>
      <c r="N54" s="80" t="e">
        <f t="shared" si="12"/>
        <v>#DIV/0!</v>
      </c>
      <c r="P54" s="80">
        <f t="shared" si="8"/>
        <v>0</v>
      </c>
      <c r="Q54" s="80" t="e">
        <f t="shared" si="13"/>
        <v>#DIV/0!</v>
      </c>
      <c r="R54" s="52">
        <f t="shared" si="10"/>
        <v>13</v>
      </c>
      <c r="S54" s="84">
        <f t="shared" si="11"/>
        <v>13</v>
      </c>
      <c r="T54" s="52"/>
    </row>
    <row r="55" spans="3:24" x14ac:dyDescent="0.35">
      <c r="C55" s="44">
        <v>45</v>
      </c>
      <c r="D55" s="44">
        <v>14</v>
      </c>
      <c r="E55" s="44">
        <f>HLOOKUP($D$5,'Table 37'!$B$3:$F$51,48,FALSE)</f>
        <v>105</v>
      </c>
      <c r="F55" s="79">
        <f t="shared" si="4"/>
        <v>7.6923076923076927E-2</v>
      </c>
      <c r="G55" s="79">
        <f t="shared" si="5"/>
        <v>0</v>
      </c>
      <c r="H55" s="80">
        <f t="shared" si="6"/>
        <v>0</v>
      </c>
      <c r="I55" s="79">
        <f>(($I$23-$I$22)/($D$23-$D$22)*(D55-$D$22)+$I$22)</f>
        <v>0</v>
      </c>
      <c r="J55" s="79">
        <f>IF(G55&lt;(($I$23-$I$22)/($D$23-$D$22)*(D55-$D$22)+$I$22),G55,((($I$23-$I$22)/($D$23-$D$22)*(D55-$D$22)+$I$22)))</f>
        <v>0</v>
      </c>
      <c r="K55" s="82">
        <f t="shared" si="7"/>
        <v>0</v>
      </c>
      <c r="L55" s="80">
        <f t="shared" si="9"/>
        <v>0</v>
      </c>
      <c r="M55" s="82" t="e">
        <f>((COPPL_d-COPPL_c)/($D$23-$D$22)*(D55-$D$22)+COPPL_c)</f>
        <v>#DIV/0!</v>
      </c>
      <c r="N55" s="80" t="e">
        <f t="shared" si="12"/>
        <v>#DIV/0!</v>
      </c>
      <c r="P55" s="80">
        <f t="shared" si="8"/>
        <v>0</v>
      </c>
      <c r="Q55" s="80" t="e">
        <f t="shared" si="13"/>
        <v>#DIV/0!</v>
      </c>
      <c r="R55" s="52">
        <f t="shared" si="10"/>
        <v>14</v>
      </c>
      <c r="S55" s="84">
        <f t="shared" si="11"/>
        <v>14</v>
      </c>
      <c r="T55" s="52"/>
    </row>
    <row r="56" spans="3:24" x14ac:dyDescent="0.35">
      <c r="C56" s="44">
        <v>46</v>
      </c>
      <c r="D56" s="44">
        <v>15</v>
      </c>
      <c r="E56" s="44">
        <f>HLOOKUP($D$5,'Table 37'!$B$3:$F$51,49,FALSE)</f>
        <v>74</v>
      </c>
      <c r="F56" s="79">
        <f t="shared" si="4"/>
        <v>3.8461538461538464E-2</v>
      </c>
      <c r="G56" s="79">
        <f t="shared" si="5"/>
        <v>0</v>
      </c>
      <c r="H56" s="80">
        <f t="shared" si="6"/>
        <v>0</v>
      </c>
      <c r="I56" s="79">
        <f>(($I$23-$I$22)/($D$23-$D$22)*(D56-$D$22)+$I$22)</f>
        <v>0</v>
      </c>
      <c r="J56" s="79">
        <f>IF(G56&lt;(($I$23-$I$22)/($D$23-$D$22)*(D56-$D$22)+$I$22),G56,((($I$23-$I$22)/($D$23-$D$22)*(D56-$D$22)+$I$22)))</f>
        <v>0</v>
      </c>
      <c r="K56" s="82">
        <f t="shared" si="7"/>
        <v>0</v>
      </c>
      <c r="L56" s="80">
        <f t="shared" si="9"/>
        <v>0</v>
      </c>
      <c r="M56" s="82" t="e">
        <f>((COPPL_d-COPPL_c)/($D$23-$D$22)*(D56-$D$22)+COPPL_c)</f>
        <v>#DIV/0!</v>
      </c>
      <c r="N56" s="80" t="e">
        <f t="shared" si="12"/>
        <v>#DIV/0!</v>
      </c>
      <c r="P56" s="80">
        <f t="shared" si="8"/>
        <v>0</v>
      </c>
      <c r="Q56" s="80" t="e">
        <f t="shared" si="13"/>
        <v>#DIV/0!</v>
      </c>
      <c r="R56" s="52">
        <f t="shared" si="10"/>
        <v>15</v>
      </c>
      <c r="S56" s="84">
        <f t="shared" si="11"/>
        <v>15</v>
      </c>
      <c r="T56" s="52"/>
    </row>
    <row r="57" spans="3:24" ht="15" thickBot="1" x14ac:dyDescent="0.4">
      <c r="E57" s="39">
        <f>SUM(E31:E56)</f>
        <v>4910</v>
      </c>
      <c r="H57" s="51">
        <f>SUM(H31:H56)</f>
        <v>0</v>
      </c>
      <c r="L57" s="51">
        <f>SUM(L31:L56)</f>
        <v>0</v>
      </c>
      <c r="N57" s="51" t="e">
        <f>SUM(N31:N56)</f>
        <v>#DIV/0!</v>
      </c>
      <c r="P57" s="51">
        <f>SUM(P31:P56)</f>
        <v>0</v>
      </c>
      <c r="Q57" s="51" t="e">
        <f>SUM(Q31:Q56)</f>
        <v>#DIV/0!</v>
      </c>
      <c r="R57" s="52"/>
      <c r="S57" s="52"/>
      <c r="T57" s="52"/>
    </row>
    <row r="58" spans="3:24" ht="17" thickBot="1" x14ac:dyDescent="0.5">
      <c r="M58" s="77" t="s">
        <v>45</v>
      </c>
      <c r="N58" s="78" t="e">
        <f>IF('ErP Inputs'!D8="Low Temperature Heat Pump","N/A",H57/N57)</f>
        <v>#DIV/0!</v>
      </c>
      <c r="P58" s="77" t="s">
        <v>57</v>
      </c>
      <c r="Q58" s="78" t="e">
        <f>IF('ErP Inputs'!D8="Low Temperature Heat Pump","N/A",P57/Q57)</f>
        <v>#DIV/0!</v>
      </c>
    </row>
    <row r="60" spans="3:24" x14ac:dyDescent="0.35">
      <c r="U60" s="38"/>
      <c r="V60" s="38"/>
      <c r="W60" s="38"/>
      <c r="X60" s="38"/>
    </row>
  </sheetData>
  <scenarios current="0" show="0">
    <scenario name="Maximum SCOP_Pdesignh" locked="1" count="1" user="John Davies" comment="Created by John Davies on 22/10/2014_x000a_Modified by John Davies on 22/10/2014">
      <inputCells r="D3" val="14.5"/>
    </scenario>
  </scenarios>
  <conditionalFormatting sqref="P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3">
      <colorScale>
        <cfvo type="num" val="30"/>
        <cfvo type="num" val="80"/>
        <cfvo type="num" val="150"/>
        <color rgb="FFF8696B"/>
        <color rgb="FFFFEB84"/>
        <color rgb="FF63BE7B"/>
      </colorScale>
    </cfRule>
  </conditionalFormatting>
  <conditionalFormatting sqref="Q19">
    <cfRule type="colorScale" priority="1">
      <colorScale>
        <cfvo type="num" val="30"/>
        <cfvo type="percentile" val="60"/>
        <cfvo type="num" val="150"/>
        <color rgb="FFF8696B"/>
        <color rgb="FFFFEB84"/>
        <color rgb="FF63BE7B"/>
      </colorScale>
    </cfRule>
  </conditionalFormatting>
  <dataValidations disablePrompts="1" count="1">
    <dataValidation type="list" allowBlank="1" showInputMessage="1" showErrorMessage="1" sqref="D13" xr:uid="{00000000-0002-0000-0500-000000000000}">
      <formula1>$H$10:$H$12</formula1>
    </dataValidation>
  </dataValidations>
  <printOptions headings="1"/>
  <pageMargins left="0.25" right="0.25" top="0.75" bottom="0.75" header="0.3" footer="0.3"/>
  <pageSetup paperSize="8"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5" tint="-0.249977111117893"/>
    <pageSetUpPr fitToPage="1"/>
  </sheetPr>
  <dimension ref="A3:X60"/>
  <sheetViews>
    <sheetView zoomScale="80" zoomScaleNormal="80" workbookViewId="0">
      <selection activeCell="I11" sqref="I11"/>
    </sheetView>
  </sheetViews>
  <sheetFormatPr defaultColWidth="9.1796875" defaultRowHeight="14.5" x14ac:dyDescent="0.35"/>
  <cols>
    <col min="1" max="2" width="3.81640625" style="38" customWidth="1"/>
    <col min="3" max="3" width="30.453125" style="38" customWidth="1"/>
    <col min="4" max="4" width="16.81640625" style="38" customWidth="1"/>
    <col min="5" max="5" width="15.81640625" style="38" bestFit="1" customWidth="1"/>
    <col min="6" max="6" width="18.7265625" style="38" bestFit="1" customWidth="1"/>
    <col min="7" max="7" width="11.7265625" style="38" customWidth="1"/>
    <col min="8" max="8" width="14.453125" style="38" customWidth="1"/>
    <col min="9" max="9" width="23.453125" style="38" customWidth="1"/>
    <col min="10" max="10" width="19.453125" style="38" bestFit="1" customWidth="1"/>
    <col min="11" max="11" width="25.81640625" style="38" bestFit="1" customWidth="1"/>
    <col min="12" max="12" width="18.453125" style="38" customWidth="1"/>
    <col min="13" max="13" width="17" style="38" bestFit="1" customWidth="1"/>
    <col min="14" max="14" width="36.26953125" style="38" bestFit="1" customWidth="1"/>
    <col min="15" max="15" width="4" style="38" customWidth="1"/>
    <col min="16" max="16" width="43" style="38" customWidth="1"/>
    <col min="17" max="17" width="26" style="38" bestFit="1" customWidth="1"/>
    <col min="18" max="18" width="6.7265625" style="38" bestFit="1" customWidth="1"/>
    <col min="19" max="19" width="4.1796875" style="38" bestFit="1" customWidth="1"/>
    <col min="20" max="20" width="24.26953125" style="38" customWidth="1"/>
    <col min="21" max="21" width="24.1796875" style="39" customWidth="1"/>
    <col min="22" max="22" width="25.54296875" style="39" bestFit="1" customWidth="1"/>
    <col min="23" max="24" width="24.1796875" style="39" customWidth="1"/>
    <col min="25" max="25" width="8.26953125" style="38" customWidth="1"/>
    <col min="26" max="16384" width="9.1796875" style="38"/>
  </cols>
  <sheetData>
    <row r="3" spans="1:24" ht="18.5" x14ac:dyDescent="0.45">
      <c r="D3" s="40"/>
    </row>
    <row r="4" spans="1:24" x14ac:dyDescent="0.35">
      <c r="C4" s="38" t="s">
        <v>104</v>
      </c>
    </row>
    <row r="5" spans="1:24" ht="16.5" x14ac:dyDescent="0.45">
      <c r="A5" s="42"/>
      <c r="C5" s="43" t="s">
        <v>24</v>
      </c>
      <c r="D5" s="44" t="s">
        <v>9</v>
      </c>
      <c r="J5" s="38" t="s">
        <v>146</v>
      </c>
      <c r="K5" s="39"/>
      <c r="L5" s="39"/>
      <c r="M5" s="39"/>
      <c r="P5" s="38" t="s">
        <v>63</v>
      </c>
      <c r="Q5" s="45">
        <f>'ErP Inputs'!$D$36</f>
        <v>1.2999999999999999E-2</v>
      </c>
      <c r="R5" s="38" t="s">
        <v>21</v>
      </c>
      <c r="U5" s="38"/>
      <c r="V5" s="38"/>
      <c r="W5" s="38"/>
      <c r="X5" s="38"/>
    </row>
    <row r="6" spans="1:24" ht="17.5" x14ac:dyDescent="0.45">
      <c r="A6" s="42"/>
      <c r="C6" s="43" t="s">
        <v>19</v>
      </c>
      <c r="D6" s="44">
        <v>-10</v>
      </c>
      <c r="E6" s="38" t="s">
        <v>20</v>
      </c>
      <c r="J6" s="46" t="s">
        <v>68</v>
      </c>
      <c r="K6" s="46" t="s">
        <v>65</v>
      </c>
      <c r="L6" s="46" t="s">
        <v>66</v>
      </c>
      <c r="M6" s="46" t="s">
        <v>67</v>
      </c>
      <c r="N6" s="46" t="s">
        <v>145</v>
      </c>
      <c r="P6" s="38" t="s">
        <v>64</v>
      </c>
      <c r="Q6" s="45">
        <f>'ErP Inputs'!$D$37</f>
        <v>0</v>
      </c>
      <c r="R6" s="38" t="s">
        <v>21</v>
      </c>
      <c r="U6" s="38"/>
      <c r="V6" s="38"/>
      <c r="W6" s="38"/>
      <c r="X6" s="38"/>
    </row>
    <row r="7" spans="1:24" ht="16.5" x14ac:dyDescent="0.45">
      <c r="A7" s="42"/>
      <c r="C7" s="43" t="s">
        <v>25</v>
      </c>
      <c r="D7" s="47">
        <f>'ErP Inputs'!M16</f>
        <v>0</v>
      </c>
      <c r="E7" s="38" t="s">
        <v>21</v>
      </c>
      <c r="I7" s="48" t="s">
        <v>62</v>
      </c>
      <c r="J7" s="49">
        <v>2066</v>
      </c>
      <c r="K7" s="44">
        <v>178</v>
      </c>
      <c r="L7" s="44">
        <v>0</v>
      </c>
      <c r="M7" s="44">
        <v>3672</v>
      </c>
      <c r="N7" s="44">
        <v>3850</v>
      </c>
      <c r="P7" s="38" t="s">
        <v>147</v>
      </c>
      <c r="Q7" s="45">
        <f>'ErP Inputs'!$D$38</f>
        <v>0</v>
      </c>
      <c r="R7" s="38" t="s">
        <v>21</v>
      </c>
      <c r="U7" s="38"/>
      <c r="V7" s="38"/>
      <c r="W7" s="38"/>
      <c r="X7" s="38"/>
    </row>
    <row r="8" spans="1:24" ht="20.5" x14ac:dyDescent="0.55000000000000004">
      <c r="A8" s="42"/>
      <c r="D8" s="39"/>
      <c r="J8" s="39"/>
      <c r="K8" s="39"/>
      <c r="L8" s="39"/>
      <c r="M8" s="39"/>
      <c r="P8" s="50" t="s">
        <v>105</v>
      </c>
      <c r="Q8" s="51">
        <f>D7*J7</f>
        <v>0</v>
      </c>
      <c r="U8" s="38"/>
      <c r="V8" s="38"/>
      <c r="W8" s="38"/>
      <c r="X8" s="38"/>
    </row>
    <row r="9" spans="1:24" ht="20.5" x14ac:dyDescent="0.55000000000000004">
      <c r="A9" s="52"/>
      <c r="B9" s="52"/>
      <c r="C9" s="53"/>
      <c r="D9" s="54"/>
      <c r="J9" s="39"/>
      <c r="K9" s="39"/>
      <c r="L9" s="39"/>
      <c r="M9" s="39"/>
      <c r="P9" s="55" t="s">
        <v>106</v>
      </c>
      <c r="Q9" s="51" t="e">
        <f>Q8/N27+(K7*Q5)+(M7*Q6)+(N7*Q7)</f>
        <v>#DIV/0!</v>
      </c>
      <c r="U9" s="38"/>
      <c r="V9" s="38"/>
      <c r="W9" s="38"/>
      <c r="X9" s="38"/>
    </row>
    <row r="10" spans="1:24" ht="15" thickBot="1" x14ac:dyDescent="0.4">
      <c r="A10" s="52"/>
      <c r="B10" s="52"/>
      <c r="D10" s="39"/>
    </row>
    <row r="11" spans="1:24" ht="21.5" thickBot="1" x14ac:dyDescent="0.55000000000000004">
      <c r="A11" s="52"/>
      <c r="B11" s="52"/>
      <c r="C11" s="56" t="str">
        <f>'ErP Inputs'!D4</f>
        <v>Air Source</v>
      </c>
      <c r="D11" s="39"/>
      <c r="P11" s="57" t="s">
        <v>61</v>
      </c>
      <c r="Q11" s="58" t="e">
        <f>Q8/Q9</f>
        <v>#DIV/0!</v>
      </c>
    </row>
    <row r="12" spans="1:24" ht="21" x14ac:dyDescent="0.5">
      <c r="A12" s="52"/>
      <c r="B12" s="52"/>
      <c r="C12" s="56" t="str">
        <f>'ErP Inputs'!D5</f>
        <v>Variable Outlet</v>
      </c>
      <c r="P12" s="38" t="s">
        <v>70</v>
      </c>
      <c r="Q12" s="39">
        <v>2.5</v>
      </c>
    </row>
    <row r="13" spans="1:24" x14ac:dyDescent="0.35">
      <c r="A13" s="52"/>
      <c r="B13" s="52"/>
      <c r="C13" s="59"/>
      <c r="D13" s="60"/>
      <c r="G13" s="61"/>
      <c r="I13" s="39"/>
      <c r="P13" s="38" t="s">
        <v>72</v>
      </c>
      <c r="Q13" s="39">
        <v>3</v>
      </c>
      <c r="R13" s="38" t="s">
        <v>28</v>
      </c>
    </row>
    <row r="14" spans="1:24" x14ac:dyDescent="0.35">
      <c r="A14" s="52"/>
      <c r="B14" s="52"/>
      <c r="C14" s="62" t="s">
        <v>23</v>
      </c>
      <c r="D14" s="63"/>
      <c r="E14" s="63"/>
      <c r="F14" s="64" t="str">
        <f>IF(D5="Average","(Tj-16) / (-10-16) %",IF(D5="Warmer","(Tj-16) / (+2-16) %","(Tj-16) / (-22-16) %"))</f>
        <v>(Tj-16) / (-10-16) %</v>
      </c>
      <c r="G14" s="65"/>
      <c r="I14" s="39"/>
      <c r="P14" s="38" t="s">
        <v>118</v>
      </c>
      <c r="Q14" s="39">
        <f>IF(C11="Ground Source",5,0)</f>
        <v>0</v>
      </c>
      <c r="R14" s="38" t="s">
        <v>28</v>
      </c>
    </row>
    <row r="15" spans="1:24" x14ac:dyDescent="0.35">
      <c r="I15" s="66"/>
      <c r="J15" s="66"/>
      <c r="P15" s="38" t="s">
        <v>189</v>
      </c>
      <c r="Q15" s="39">
        <f>Q13+Q14</f>
        <v>3</v>
      </c>
      <c r="R15" s="38" t="s">
        <v>28</v>
      </c>
    </row>
    <row r="16" spans="1:24" ht="15" thickBot="1" x14ac:dyDescent="0.4">
      <c r="A16" s="52"/>
      <c r="B16" s="52"/>
    </row>
    <row r="17" spans="1:20" ht="41.25" customHeight="1" thickBot="1" x14ac:dyDescent="0.4">
      <c r="A17" s="52"/>
      <c r="B17" s="52"/>
      <c r="C17" s="46" t="s">
        <v>27</v>
      </c>
      <c r="D17" s="67" t="s">
        <v>167</v>
      </c>
      <c r="E17" s="67" t="s">
        <v>168</v>
      </c>
      <c r="F17" s="67" t="s">
        <v>26</v>
      </c>
      <c r="G17" s="67" t="s">
        <v>23</v>
      </c>
      <c r="H17" s="67" t="s">
        <v>29</v>
      </c>
      <c r="I17" s="67" t="s">
        <v>30</v>
      </c>
      <c r="J17" s="67" t="s">
        <v>31</v>
      </c>
      <c r="K17" s="67" t="s">
        <v>102</v>
      </c>
      <c r="L17" s="67" t="s">
        <v>103</v>
      </c>
      <c r="M17" s="67" t="s">
        <v>39</v>
      </c>
      <c r="N17" s="67" t="s">
        <v>33</v>
      </c>
      <c r="P17" s="57" t="s">
        <v>69</v>
      </c>
      <c r="Q17" s="68" t="e">
        <f>(100/Q12)*Q11-Q15</f>
        <v>#DIV/0!</v>
      </c>
    </row>
    <row r="18" spans="1:20" ht="17" thickBot="1" x14ac:dyDescent="0.5">
      <c r="C18" s="48"/>
      <c r="D18" s="48"/>
      <c r="E18" s="48"/>
      <c r="F18" s="48"/>
      <c r="G18" s="46" t="s">
        <v>28</v>
      </c>
      <c r="H18" s="46" t="s">
        <v>21</v>
      </c>
      <c r="I18" s="46" t="s">
        <v>21</v>
      </c>
      <c r="J18" s="46" t="s">
        <v>32</v>
      </c>
      <c r="K18" s="46" t="s">
        <v>100</v>
      </c>
      <c r="L18" s="46" t="s">
        <v>101</v>
      </c>
      <c r="M18" s="46"/>
      <c r="N18" s="46" t="s">
        <v>34</v>
      </c>
    </row>
    <row r="19" spans="1:20" ht="31.5" thickBot="1" x14ac:dyDescent="0.75">
      <c r="C19" s="43"/>
      <c r="D19" s="44">
        <v>-15</v>
      </c>
      <c r="E19" s="69" t="str">
        <f>IF($D$5="Average","Not Applicable",IF($D$5="Warmer","Not Applicable",IF($D$5="Colder",(minus15-16)/(Tdesignh-16),"Check Value")))</f>
        <v>Not Applicable</v>
      </c>
      <c r="F19" s="69" t="str">
        <f>IF($D$5="Average","Not Applicable",IF($D$5="Warmer","Not Applicable",IF($D$5="Colder",(minus15-16)/(Tdesignh-16),"Check Value")))</f>
        <v>Not Applicable</v>
      </c>
      <c r="G19" s="69"/>
      <c r="H19" s="44"/>
      <c r="I19" s="44"/>
      <c r="J19" s="44"/>
      <c r="K19" s="44"/>
      <c r="L19" s="44"/>
      <c r="M19" s="44"/>
      <c r="N19" s="44"/>
      <c r="P19" s="57" t="s">
        <v>71</v>
      </c>
      <c r="Q19" s="70" t="e">
        <f>IF('ErP Inputs'!D8="Low Temperature Heat Pump",IF(Q17&gt;=150,"A++",IF(AND(Q17&lt;150,Q17&gt;=123),"A+",IF(AND(Q17&lt;123,Q17&gt;=115),"A",IF(AND(Q17&lt;115,Q17&gt;=107),"B",IF(AND(Q17&lt;107,Q17&gt;=100),"C",IF(AND(Q17&lt;100,Q17&gt;=61),"D",IF(AND(Q17&lt;61,Q17&gt;=59),"E",IF(AND(Q17&lt;59,Q17&gt;=55),"F","G")))))))),IF(Q17&gt;=125,"A++",IF(AND(Q17&lt;125,Q17&gt;=98),"A+",IF(AND(Q17&lt;98,Q17&gt;=90),"A",IF(AND(Q17&lt;90,Q17&gt;=82),"B",IF(AND(Q17&lt;82,Q17&gt;=75),"C",IF(AND(Q17&lt;75,Q17&gt;=36),"D",IF(AND(Q17&lt;36,Q17&gt;=34),"E",IF(AND(Q17&lt;34,Q17&gt;=30),"F","G")))))))))</f>
        <v>#DIV/0!</v>
      </c>
    </row>
    <row r="20" spans="1:20" ht="15" thickBot="1" x14ac:dyDescent="0.4">
      <c r="C20" s="71" t="s">
        <v>15</v>
      </c>
      <c r="D20" s="71">
        <v>-7</v>
      </c>
      <c r="E20" s="44">
        <f>IF('ErP Inputs'!D4="Ground Source",0,IF('ErP Inputs'!D4="Air Source",-7,10))</f>
        <v>-7</v>
      </c>
      <c r="F20" s="71">
        <f>'ErP Inputs'!F27</f>
        <v>61</v>
      </c>
      <c r="G20" s="72">
        <f>(D20-16)/(Tdesignh-16)</f>
        <v>0.88461538461538458</v>
      </c>
      <c r="H20" s="47">
        <f>G20*$D$7</f>
        <v>0</v>
      </c>
      <c r="I20" s="47">
        <f>'ErP Inputs'!E28</f>
        <v>0</v>
      </c>
      <c r="J20" s="47">
        <f>'ErP Inputs'!E29</f>
        <v>0</v>
      </c>
      <c r="K20" s="47">
        <f>IF('ErP Inputs'!E30="",0.9,'ErP Inputs'!E30)</f>
        <v>0.9</v>
      </c>
      <c r="L20" s="47" t="e">
        <f>IF(I20&lt;H20,1,H20/I20)</f>
        <v>#DIV/0!</v>
      </c>
      <c r="M20" s="47" t="e">
        <f>L20/(K20*L20+(1-K20))</f>
        <v>#DIV/0!</v>
      </c>
      <c r="N20" s="47" t="e">
        <f>IF(L20=1,J20,J20*L20/(K20*L20+(1-K20)))</f>
        <v>#DIV/0!</v>
      </c>
    </row>
    <row r="21" spans="1:20" ht="17" thickBot="1" x14ac:dyDescent="0.4">
      <c r="C21" s="71" t="s">
        <v>16</v>
      </c>
      <c r="D21" s="71">
        <v>2</v>
      </c>
      <c r="E21" s="44">
        <f>IF('ErP Inputs'!D4="Ground Source",0,IF('ErP Inputs'!D4="Air Source",2,10))</f>
        <v>2</v>
      </c>
      <c r="F21" s="71">
        <f>'ErP Inputs'!H27</f>
        <v>49</v>
      </c>
      <c r="G21" s="72">
        <f>(D21-16)/(Tdesignh-16)</f>
        <v>0.53846153846153844</v>
      </c>
      <c r="H21" s="47">
        <f t="shared" ref="H21:H24" si="0">G21*$D$7</f>
        <v>0</v>
      </c>
      <c r="I21" s="47">
        <f>'ErP Inputs'!G28</f>
        <v>0</v>
      </c>
      <c r="J21" s="47">
        <f>'ErP Inputs'!G29</f>
        <v>0</v>
      </c>
      <c r="K21" s="47">
        <f>IF('ErP Inputs'!G30="",0.9,'ErP Inputs'!G30)</f>
        <v>0.9</v>
      </c>
      <c r="L21" s="47" t="e">
        <f t="shared" ref="L21:L24" si="1">IF(I21&lt;H21,1,H21/I21)</f>
        <v>#DIV/0!</v>
      </c>
      <c r="M21" s="47" t="e">
        <f t="shared" ref="M21:M24" si="2">L21/(K21*L21+(1-K21))</f>
        <v>#DIV/0!</v>
      </c>
      <c r="N21" s="47" t="e">
        <f t="shared" ref="N21:N23" si="3">IF(L21=1,J21,J21*L21/(K21*L21+(1-K21)))</f>
        <v>#DIV/0!</v>
      </c>
      <c r="P21" s="57" t="s">
        <v>190</v>
      </c>
      <c r="Q21" s="73" t="str">
        <f>IF(Q22=FALSE,MIN(S31:S56),"N/A")</f>
        <v>N/A</v>
      </c>
      <c r="R21" s="38" t="s">
        <v>20</v>
      </c>
    </row>
    <row r="22" spans="1:20" x14ac:dyDescent="0.35">
      <c r="C22" s="71" t="s">
        <v>17</v>
      </c>
      <c r="D22" s="71">
        <v>7</v>
      </c>
      <c r="E22" s="44">
        <f>IF('ErP Inputs'!D4="Ground Source",0,IF('ErP Inputs'!D4="Air Source",7,10))</f>
        <v>7</v>
      </c>
      <c r="F22" s="71">
        <f>'ErP Inputs'!J27</f>
        <v>41</v>
      </c>
      <c r="G22" s="72">
        <f>(D22-16)/(Tdesignh-16)</f>
        <v>0.34615384615384615</v>
      </c>
      <c r="H22" s="47">
        <f t="shared" si="0"/>
        <v>0</v>
      </c>
      <c r="I22" s="47">
        <f>'ErP Inputs'!I28</f>
        <v>0</v>
      </c>
      <c r="J22" s="47">
        <f>'ErP Inputs'!I29</f>
        <v>0</v>
      </c>
      <c r="K22" s="47">
        <f>IF('ErP Inputs'!I30="",0.9,'ErP Inputs'!I30)</f>
        <v>0.9</v>
      </c>
      <c r="L22" s="47" t="e">
        <f t="shared" si="1"/>
        <v>#DIV/0!</v>
      </c>
      <c r="M22" s="47" t="e">
        <f t="shared" si="2"/>
        <v>#DIV/0!</v>
      </c>
      <c r="N22" s="47" t="e">
        <f t="shared" si="3"/>
        <v>#DIV/0!</v>
      </c>
      <c r="Q22" s="52" t="b">
        <f>ISERROR(N27)</f>
        <v>1</v>
      </c>
    </row>
    <row r="23" spans="1:20" x14ac:dyDescent="0.35">
      <c r="C23" s="71" t="s">
        <v>18</v>
      </c>
      <c r="D23" s="71">
        <v>12</v>
      </c>
      <c r="E23" s="44">
        <f>IF('ErP Inputs'!D4="Ground Source",0,IF('ErP Inputs'!D4="Air Source",12,10))</f>
        <v>12</v>
      </c>
      <c r="F23" s="71">
        <f>'ErP Inputs'!L27</f>
        <v>32</v>
      </c>
      <c r="G23" s="72">
        <f>(D23-16)/(Tdesignh-16)</f>
        <v>0.15384615384615385</v>
      </c>
      <c r="H23" s="47">
        <f t="shared" si="0"/>
        <v>0</v>
      </c>
      <c r="I23" s="47">
        <f>'ErP Inputs'!K28</f>
        <v>0</v>
      </c>
      <c r="J23" s="47">
        <f>'ErP Inputs'!K29</f>
        <v>0</v>
      </c>
      <c r="K23" s="47">
        <f>IF('ErP Inputs'!K30="",0.9,'ErP Inputs'!K30)</f>
        <v>0.9</v>
      </c>
      <c r="L23" s="47" t="e">
        <f>IF(I23&lt;H23,1,H23/I23)</f>
        <v>#DIV/0!</v>
      </c>
      <c r="M23" s="47" t="e">
        <f t="shared" si="2"/>
        <v>#DIV/0!</v>
      </c>
      <c r="N23" s="47" t="e">
        <f t="shared" si="3"/>
        <v>#DIV/0!</v>
      </c>
    </row>
    <row r="24" spans="1:20" x14ac:dyDescent="0.35">
      <c r="C24" s="71" t="s">
        <v>166</v>
      </c>
      <c r="D24" s="71">
        <f>IF(OR('ErP Inputs'!D4="Ground Source",'ErP Inputs'!D4="Water Source"),-10,IF('ErP Inputs'!D35&gt;-7,"N/A",IF(AND('ErP Inputs'!D35&gt;=Tdesignh,'ErP Inputs'!D35&lt;=-7),'ErP Inputs'!D35,Tdesignh)))</f>
        <v>-10</v>
      </c>
      <c r="E24" s="44">
        <f>IF('ErP Inputs'!D4="Ground Source",0,IF('ErP Inputs'!D4="Air Source",D24,10))</f>
        <v>-10</v>
      </c>
      <c r="F24" s="71">
        <f>'ErP Inputs'!N27</f>
        <v>65</v>
      </c>
      <c r="G24" s="72">
        <f>(D24-16)/(Tdesignh-16)</f>
        <v>1</v>
      </c>
      <c r="H24" s="47">
        <f t="shared" si="0"/>
        <v>0</v>
      </c>
      <c r="I24" s="47">
        <f>'ErP Inputs'!M28</f>
        <v>0</v>
      </c>
      <c r="J24" s="47">
        <f>'ErP Inputs'!M29</f>
        <v>0</v>
      </c>
      <c r="K24" s="47">
        <f>IF('ErP Inputs'!M30="",0.9,'ErP Inputs'!M30)</f>
        <v>0.9</v>
      </c>
      <c r="L24" s="47" t="e">
        <f t="shared" si="1"/>
        <v>#DIV/0!</v>
      </c>
      <c r="M24" s="47" t="e">
        <f t="shared" si="2"/>
        <v>#DIV/0!</v>
      </c>
      <c r="N24" s="47" t="e">
        <f>IF(L24=1,J24,J24*L24/(K24*L24+(1-K24)))</f>
        <v>#DIV/0!</v>
      </c>
    </row>
    <row r="25" spans="1:20" x14ac:dyDescent="0.35">
      <c r="C25" s="74"/>
      <c r="D25" s="74"/>
      <c r="E25" s="74"/>
      <c r="G25" s="75"/>
      <c r="H25" s="76"/>
      <c r="I25" s="76"/>
      <c r="J25" s="76"/>
      <c r="K25" s="74"/>
      <c r="L25" s="76"/>
      <c r="M25" s="76"/>
      <c r="N25" s="76"/>
    </row>
    <row r="26" spans="1:20" ht="15" thickBot="1" x14ac:dyDescent="0.4"/>
    <row r="27" spans="1:20" ht="17" thickBot="1" x14ac:dyDescent="0.5">
      <c r="M27" s="77" t="s">
        <v>45</v>
      </c>
      <c r="N27" s="78" t="e">
        <f>N58</f>
        <v>#DIV/0!</v>
      </c>
      <c r="P27" s="77" t="s">
        <v>57</v>
      </c>
      <c r="Q27" s="78" t="e">
        <f>Q58</f>
        <v>#DIV/0!</v>
      </c>
    </row>
    <row r="28" spans="1:20" ht="52.5" customHeight="1" x14ac:dyDescent="0.45">
      <c r="C28" s="46" t="s">
        <v>35</v>
      </c>
      <c r="D28" s="67" t="s">
        <v>36</v>
      </c>
      <c r="E28" s="46" t="s">
        <v>37</v>
      </c>
      <c r="F28" s="46" t="s">
        <v>23</v>
      </c>
      <c r="G28" s="46" t="s">
        <v>29</v>
      </c>
      <c r="H28" s="67" t="s">
        <v>42</v>
      </c>
      <c r="I28" s="67" t="s">
        <v>40</v>
      </c>
      <c r="J28" s="67" t="s">
        <v>38</v>
      </c>
      <c r="K28" s="67" t="s">
        <v>41</v>
      </c>
      <c r="L28" s="67" t="s">
        <v>43</v>
      </c>
      <c r="M28" s="67" t="s">
        <v>34</v>
      </c>
      <c r="N28" s="67" t="s">
        <v>44</v>
      </c>
      <c r="P28" s="67" t="s">
        <v>46</v>
      </c>
      <c r="Q28" s="67" t="s">
        <v>48</v>
      </c>
    </row>
    <row r="29" spans="1:20" ht="16.5" x14ac:dyDescent="0.45">
      <c r="C29" s="46" t="s">
        <v>0</v>
      </c>
      <c r="D29" s="46" t="s">
        <v>54</v>
      </c>
      <c r="E29" s="46" t="s">
        <v>53</v>
      </c>
      <c r="F29" s="46"/>
      <c r="G29" s="46" t="s">
        <v>52</v>
      </c>
      <c r="H29" s="46" t="s">
        <v>51</v>
      </c>
      <c r="I29" s="46"/>
      <c r="J29" s="46"/>
      <c r="K29" s="46" t="s">
        <v>50</v>
      </c>
      <c r="L29" s="46" t="s">
        <v>49</v>
      </c>
      <c r="M29" s="67"/>
      <c r="N29" s="46" t="s">
        <v>56</v>
      </c>
      <c r="P29" s="46" t="s">
        <v>47</v>
      </c>
      <c r="Q29" s="46" t="s">
        <v>55</v>
      </c>
    </row>
    <row r="30" spans="1:20" ht="16.5" x14ac:dyDescent="0.35">
      <c r="C30" s="46"/>
      <c r="D30" s="46" t="s">
        <v>20</v>
      </c>
      <c r="E30" s="46" t="s">
        <v>4</v>
      </c>
      <c r="F30" s="46"/>
      <c r="G30" s="46" t="s">
        <v>21</v>
      </c>
      <c r="H30" s="46" t="s">
        <v>22</v>
      </c>
      <c r="I30" s="46" t="s">
        <v>21</v>
      </c>
      <c r="J30" s="46" t="s">
        <v>21</v>
      </c>
      <c r="K30" s="67" t="s">
        <v>21</v>
      </c>
      <c r="L30" s="46" t="s">
        <v>22</v>
      </c>
      <c r="M30" s="67"/>
      <c r="N30" s="46" t="s">
        <v>22</v>
      </c>
      <c r="P30" s="46" t="s">
        <v>22</v>
      </c>
      <c r="Q30" s="46" t="s">
        <v>22</v>
      </c>
    </row>
    <row r="31" spans="1:20" x14ac:dyDescent="0.35">
      <c r="C31" s="44">
        <v>21</v>
      </c>
      <c r="D31" s="44">
        <v>-10</v>
      </c>
      <c r="E31" s="44">
        <f>HLOOKUP($D$5,'Table 37'!$B$3:$F$51,24,FALSE)</f>
        <v>1</v>
      </c>
      <c r="F31" s="79">
        <f t="shared" ref="F31:F56" si="4">(D31-16)/(Tdesignh-16)</f>
        <v>1</v>
      </c>
      <c r="G31" s="79">
        <f>$D$7*F31</f>
        <v>0</v>
      </c>
      <c r="H31" s="80">
        <f t="shared" ref="H31:H56" si="5">E31*G31</f>
        <v>0</v>
      </c>
      <c r="I31" s="81">
        <f>IF(D24&gt;D31,0,I24)</f>
        <v>0</v>
      </c>
      <c r="J31" s="81">
        <f>IF(G31&lt;I31,G31,I31)</f>
        <v>0</v>
      </c>
      <c r="K31" s="82">
        <f t="shared" ref="K31:K56" si="6">IF(G31-I31&gt;0,G31-I31,0)</f>
        <v>0</v>
      </c>
      <c r="L31" s="80">
        <f>IF(D24="N/A",#DIV/0!,K31*E31)</f>
        <v>0</v>
      </c>
      <c r="M31" s="83" t="e">
        <f>COPPL_TOL</f>
        <v>#DIV/0!</v>
      </c>
      <c r="N31" s="80">
        <f>IFERROR(E31*((G31-K31)/M31+K31),L31)</f>
        <v>0</v>
      </c>
      <c r="P31" s="80">
        <f t="shared" ref="P31:P56" si="7">E31*(G31-K31)</f>
        <v>0</v>
      </c>
      <c r="Q31" s="80">
        <f>IF(P31=0,L31,IF(F31&lt;1,E31*Q31/M31,E31*(G31-K31)/M31))</f>
        <v>0</v>
      </c>
      <c r="R31" s="52">
        <f>IF(G31=I31,D31,IF(AND(G31&gt;I31,G32&lt;I32),TRUE,FALSE))</f>
        <v>-10</v>
      </c>
      <c r="S31" s="84">
        <f>IF(R31=FALSE,"N/A",D31)</f>
        <v>-10</v>
      </c>
      <c r="T31" s="88"/>
    </row>
    <row r="32" spans="1:20" x14ac:dyDescent="0.35">
      <c r="C32" s="44">
        <v>22</v>
      </c>
      <c r="D32" s="44">
        <v>-9</v>
      </c>
      <c r="E32" s="44">
        <f>HLOOKUP($D$5,'Table 37'!$B$3:$F$51,25,FALSE)</f>
        <v>25</v>
      </c>
      <c r="F32" s="79">
        <f t="shared" si="4"/>
        <v>0.96153846153846156</v>
      </c>
      <c r="G32" s="79">
        <f t="shared" ref="G32:G56" si="8">$D$7*F32</f>
        <v>0</v>
      </c>
      <c r="H32" s="80">
        <f t="shared" si="5"/>
        <v>0</v>
      </c>
      <c r="I32" s="79">
        <f>IF(D24&gt;D32,0,IF(D24=D32,I24,(($I$20-$I$24)/($D$20-$D$24)*(D32-$D$24)+$I$24)))</f>
        <v>0</v>
      </c>
      <c r="J32" s="79">
        <f>IF(I32=0,0,IF(G32&lt;(($I$20-$I$24)/($D$20-$D$24)*(D32-$D$24)+$I$24),G32,(($I$20-$I$24)/($D$20-$D$24)*(D32-$D$24)+$I$24)))</f>
        <v>0</v>
      </c>
      <c r="K32" s="82">
        <f t="shared" si="6"/>
        <v>0</v>
      </c>
      <c r="L32" s="80">
        <f t="shared" ref="L32:L56" si="9">K32*E32</f>
        <v>0</v>
      </c>
      <c r="M32" s="82" t="e">
        <f>((COPPL_a-COPPL_TOL)/($D$20-$D$24)*(D32-$D$24)+COPPL_TOL)</f>
        <v>#DIV/0!</v>
      </c>
      <c r="N32" s="80">
        <f>IFERROR(E32*((G32-K32)/M32+K32),L32)</f>
        <v>0</v>
      </c>
      <c r="P32" s="80">
        <f t="shared" si="7"/>
        <v>0</v>
      </c>
      <c r="Q32" s="80">
        <f>IF(P31=0,L32,E32*(G32-K32)/M32)</f>
        <v>0</v>
      </c>
      <c r="R32" s="52">
        <f t="shared" ref="R32:R56" si="10">IF(G32=I32,D32,IF(AND(G32&gt;I32,G33&lt;I33),TRUE,FALSE))</f>
        <v>-9</v>
      </c>
      <c r="S32" s="84">
        <f t="shared" ref="S32:S56" si="11">IF(R32=FALSE,"N/A",D32)</f>
        <v>-9</v>
      </c>
      <c r="T32" s="88"/>
    </row>
    <row r="33" spans="3:20" x14ac:dyDescent="0.35">
      <c r="C33" s="44">
        <v>23</v>
      </c>
      <c r="D33" s="44">
        <v>-8</v>
      </c>
      <c r="E33" s="44">
        <f>HLOOKUP($D$5,'Table 37'!$B$3:$F$51,26,FALSE)</f>
        <v>23</v>
      </c>
      <c r="F33" s="79">
        <f t="shared" si="4"/>
        <v>0.92307692307692313</v>
      </c>
      <c r="G33" s="79">
        <f t="shared" si="8"/>
        <v>0</v>
      </c>
      <c r="H33" s="80">
        <f t="shared" si="5"/>
        <v>0</v>
      </c>
      <c r="I33" s="79">
        <f>IF(D24&gt;D33,0,IF(D24=D33,I24,(($I$20-$I$24)/($D$20-$D$24)*(D33-$D$24)+$I$24)))</f>
        <v>0</v>
      </c>
      <c r="J33" s="79">
        <f>IF(D24&gt;=-7,0,IF(G33&lt;(($I$20-$I$24)/($D$20-$D$24)*(D33-$D$24)+$I$24),G33,(($I$20-$I$24)/($D$20-$D$24)*(D33-$D$24)+$I$24)))</f>
        <v>0</v>
      </c>
      <c r="K33" s="82">
        <f t="shared" si="6"/>
        <v>0</v>
      </c>
      <c r="L33" s="80">
        <f t="shared" si="9"/>
        <v>0</v>
      </c>
      <c r="M33" s="82" t="e">
        <f>((COPPL_a-COPPL_TOL)/($D$20-$D$24)*(D33-$D$24)+COPPL_TOL)</f>
        <v>#DIV/0!</v>
      </c>
      <c r="N33" s="80">
        <f>IFERROR(E33*((G33-K33)/M33+K33),L33)</f>
        <v>0</v>
      </c>
      <c r="P33" s="80">
        <f t="shared" si="7"/>
        <v>0</v>
      </c>
      <c r="Q33" s="80">
        <f>IF(P31=0,L33,E33*(G33-K33)/M33)</f>
        <v>0</v>
      </c>
      <c r="R33" s="52">
        <f t="shared" si="10"/>
        <v>-8</v>
      </c>
      <c r="S33" s="84">
        <f t="shared" si="11"/>
        <v>-8</v>
      </c>
      <c r="T33" s="88"/>
    </row>
    <row r="34" spans="3:20" x14ac:dyDescent="0.35">
      <c r="C34" s="44">
        <v>24</v>
      </c>
      <c r="D34" s="44">
        <v>-7</v>
      </c>
      <c r="E34" s="44">
        <f>HLOOKUP($D$5,'Table 37'!$B$3:$F$51,27,FALSE)</f>
        <v>24</v>
      </c>
      <c r="F34" s="79">
        <f t="shared" si="4"/>
        <v>0.88461538461538458</v>
      </c>
      <c r="G34" s="79">
        <f t="shared" si="8"/>
        <v>0</v>
      </c>
      <c r="H34" s="80">
        <f t="shared" si="5"/>
        <v>0</v>
      </c>
      <c r="I34" s="81">
        <f>I20</f>
        <v>0</v>
      </c>
      <c r="J34" s="81">
        <f>IF(G34&lt;I20,G34,I20)</f>
        <v>0</v>
      </c>
      <c r="K34" s="82">
        <f t="shared" si="6"/>
        <v>0</v>
      </c>
      <c r="L34" s="80">
        <f t="shared" si="9"/>
        <v>0</v>
      </c>
      <c r="M34" s="83" t="e">
        <f>COPPL_a</f>
        <v>#DIV/0!</v>
      </c>
      <c r="N34" s="80" t="e">
        <f t="shared" ref="N34:N56" si="12">E34*((G34-K34)/M34+K34)</f>
        <v>#DIV/0!</v>
      </c>
      <c r="P34" s="80">
        <f t="shared" si="7"/>
        <v>0</v>
      </c>
      <c r="Q34" s="80" t="e">
        <f t="shared" ref="Q34:Q56" si="13">E34*(G34-K34)/M34</f>
        <v>#DIV/0!</v>
      </c>
      <c r="R34" s="52">
        <f t="shared" si="10"/>
        <v>-7</v>
      </c>
      <c r="S34" s="84">
        <f t="shared" si="11"/>
        <v>-7</v>
      </c>
      <c r="T34" s="88"/>
    </row>
    <row r="35" spans="3:20" x14ac:dyDescent="0.35">
      <c r="C35" s="44">
        <v>25</v>
      </c>
      <c r="D35" s="44">
        <v>-6</v>
      </c>
      <c r="E35" s="44">
        <f>HLOOKUP($D$5,'Table 37'!$B$3:$F$51,28,FALSE)</f>
        <v>27</v>
      </c>
      <c r="F35" s="79">
        <f t="shared" si="4"/>
        <v>0.84615384615384615</v>
      </c>
      <c r="G35" s="79">
        <f t="shared" si="8"/>
        <v>0</v>
      </c>
      <c r="H35" s="80">
        <f t="shared" si="5"/>
        <v>0</v>
      </c>
      <c r="I35" s="79">
        <f t="shared" ref="I35:I42" si="14">(($I$21-$I$20)/($D$21-$D$20)*(D35-$D$20)+$I$20)</f>
        <v>0</v>
      </c>
      <c r="J35" s="79">
        <f t="shared" ref="J35:J42" si="15">IF(G35&lt;(($I$21-$I$20)/($D$21-$D$20)*(D35-$D$20)+$I$20),G35,(($I$21-$I$20)/($D$21-$D$20)*(D35-$D$20)+$I$20))</f>
        <v>0</v>
      </c>
      <c r="K35" s="82">
        <f t="shared" si="6"/>
        <v>0</v>
      </c>
      <c r="L35" s="80">
        <f t="shared" si="9"/>
        <v>0</v>
      </c>
      <c r="M35" s="82" t="e">
        <f t="shared" ref="M35:M42" si="16">((COPPL_b-COPPL_a)/($D$21-$D$20)*(D35-$D$20)+COPPL_a)</f>
        <v>#DIV/0!</v>
      </c>
      <c r="N35" s="80" t="e">
        <f t="shared" si="12"/>
        <v>#DIV/0!</v>
      </c>
      <c r="P35" s="80">
        <f t="shared" si="7"/>
        <v>0</v>
      </c>
      <c r="Q35" s="80" t="e">
        <f t="shared" si="13"/>
        <v>#DIV/0!</v>
      </c>
      <c r="R35" s="52">
        <f t="shared" si="10"/>
        <v>-6</v>
      </c>
      <c r="S35" s="84">
        <f t="shared" si="11"/>
        <v>-6</v>
      </c>
      <c r="T35" s="88"/>
    </row>
    <row r="36" spans="3:20" x14ac:dyDescent="0.35">
      <c r="C36" s="44">
        <v>26</v>
      </c>
      <c r="D36" s="44">
        <v>-5</v>
      </c>
      <c r="E36" s="44">
        <f>HLOOKUP($D$5,'Table 37'!$B$3:$F$51,29,FALSE)</f>
        <v>68</v>
      </c>
      <c r="F36" s="79">
        <f t="shared" si="4"/>
        <v>0.80769230769230771</v>
      </c>
      <c r="G36" s="79">
        <f t="shared" si="8"/>
        <v>0</v>
      </c>
      <c r="H36" s="80">
        <f t="shared" si="5"/>
        <v>0</v>
      </c>
      <c r="I36" s="79">
        <f t="shared" si="14"/>
        <v>0</v>
      </c>
      <c r="J36" s="79">
        <f t="shared" si="15"/>
        <v>0</v>
      </c>
      <c r="K36" s="82">
        <f t="shared" si="6"/>
        <v>0</v>
      </c>
      <c r="L36" s="80">
        <f t="shared" si="9"/>
        <v>0</v>
      </c>
      <c r="M36" s="82" t="e">
        <f t="shared" si="16"/>
        <v>#DIV/0!</v>
      </c>
      <c r="N36" s="80" t="e">
        <f t="shared" si="12"/>
        <v>#DIV/0!</v>
      </c>
      <c r="P36" s="80">
        <f t="shared" si="7"/>
        <v>0</v>
      </c>
      <c r="Q36" s="80" t="e">
        <f t="shared" si="13"/>
        <v>#DIV/0!</v>
      </c>
      <c r="R36" s="52">
        <f t="shared" si="10"/>
        <v>-5</v>
      </c>
      <c r="S36" s="84">
        <f t="shared" si="11"/>
        <v>-5</v>
      </c>
      <c r="T36" s="88"/>
    </row>
    <row r="37" spans="3:20" x14ac:dyDescent="0.35">
      <c r="C37" s="44">
        <v>27</v>
      </c>
      <c r="D37" s="44">
        <v>-4</v>
      </c>
      <c r="E37" s="44">
        <f>HLOOKUP($D$5,'Table 37'!$B$3:$F$51,30,FALSE)</f>
        <v>91</v>
      </c>
      <c r="F37" s="79">
        <f t="shared" si="4"/>
        <v>0.76923076923076927</v>
      </c>
      <c r="G37" s="79">
        <f t="shared" si="8"/>
        <v>0</v>
      </c>
      <c r="H37" s="80">
        <f t="shared" si="5"/>
        <v>0</v>
      </c>
      <c r="I37" s="79">
        <f t="shared" si="14"/>
        <v>0</v>
      </c>
      <c r="J37" s="79">
        <f t="shared" si="15"/>
        <v>0</v>
      </c>
      <c r="K37" s="82">
        <f t="shared" si="6"/>
        <v>0</v>
      </c>
      <c r="L37" s="80">
        <f t="shared" si="9"/>
        <v>0</v>
      </c>
      <c r="M37" s="82" t="e">
        <f t="shared" si="16"/>
        <v>#DIV/0!</v>
      </c>
      <c r="N37" s="80" t="e">
        <f t="shared" si="12"/>
        <v>#DIV/0!</v>
      </c>
      <c r="P37" s="80">
        <f t="shared" si="7"/>
        <v>0</v>
      </c>
      <c r="Q37" s="80" t="e">
        <f t="shared" si="13"/>
        <v>#DIV/0!</v>
      </c>
      <c r="R37" s="52">
        <f t="shared" si="10"/>
        <v>-4</v>
      </c>
      <c r="S37" s="84">
        <f t="shared" si="11"/>
        <v>-4</v>
      </c>
      <c r="T37" s="88"/>
    </row>
    <row r="38" spans="3:20" x14ac:dyDescent="0.35">
      <c r="C38" s="44">
        <v>28</v>
      </c>
      <c r="D38" s="44">
        <v>-3</v>
      </c>
      <c r="E38" s="44">
        <f>HLOOKUP($D$5,'Table 37'!$B$3:$F$51,31,FALSE)</f>
        <v>89</v>
      </c>
      <c r="F38" s="79">
        <f t="shared" si="4"/>
        <v>0.73076923076923073</v>
      </c>
      <c r="G38" s="79">
        <f t="shared" si="8"/>
        <v>0</v>
      </c>
      <c r="H38" s="80">
        <f t="shared" si="5"/>
        <v>0</v>
      </c>
      <c r="I38" s="79">
        <f t="shared" si="14"/>
        <v>0</v>
      </c>
      <c r="J38" s="79">
        <f t="shared" si="15"/>
        <v>0</v>
      </c>
      <c r="K38" s="82">
        <f t="shared" si="6"/>
        <v>0</v>
      </c>
      <c r="L38" s="80">
        <f t="shared" si="9"/>
        <v>0</v>
      </c>
      <c r="M38" s="82" t="e">
        <f t="shared" si="16"/>
        <v>#DIV/0!</v>
      </c>
      <c r="N38" s="80" t="e">
        <f t="shared" si="12"/>
        <v>#DIV/0!</v>
      </c>
      <c r="P38" s="80">
        <f t="shared" si="7"/>
        <v>0</v>
      </c>
      <c r="Q38" s="80" t="e">
        <f t="shared" si="13"/>
        <v>#DIV/0!</v>
      </c>
      <c r="R38" s="52">
        <f t="shared" si="10"/>
        <v>-3</v>
      </c>
      <c r="S38" s="84">
        <f t="shared" si="11"/>
        <v>-3</v>
      </c>
      <c r="T38" s="88"/>
    </row>
    <row r="39" spans="3:20" x14ac:dyDescent="0.35">
      <c r="C39" s="44">
        <v>29</v>
      </c>
      <c r="D39" s="44">
        <v>-2</v>
      </c>
      <c r="E39" s="44">
        <f>HLOOKUP($D$5,'Table 37'!$B$3:$F$51,32,FALSE)</f>
        <v>165</v>
      </c>
      <c r="F39" s="79">
        <f t="shared" si="4"/>
        <v>0.69230769230769229</v>
      </c>
      <c r="G39" s="79">
        <f t="shared" si="8"/>
        <v>0</v>
      </c>
      <c r="H39" s="80">
        <f t="shared" si="5"/>
        <v>0</v>
      </c>
      <c r="I39" s="79">
        <f t="shared" si="14"/>
        <v>0</v>
      </c>
      <c r="J39" s="79">
        <f t="shared" si="15"/>
        <v>0</v>
      </c>
      <c r="K39" s="82">
        <f t="shared" si="6"/>
        <v>0</v>
      </c>
      <c r="L39" s="80">
        <f t="shared" si="9"/>
        <v>0</v>
      </c>
      <c r="M39" s="82" t="e">
        <f t="shared" si="16"/>
        <v>#DIV/0!</v>
      </c>
      <c r="N39" s="80" t="e">
        <f t="shared" si="12"/>
        <v>#DIV/0!</v>
      </c>
      <c r="P39" s="80">
        <f t="shared" si="7"/>
        <v>0</v>
      </c>
      <c r="Q39" s="80" t="e">
        <f t="shared" si="13"/>
        <v>#DIV/0!</v>
      </c>
      <c r="R39" s="52">
        <f t="shared" si="10"/>
        <v>-2</v>
      </c>
      <c r="S39" s="84">
        <f t="shared" si="11"/>
        <v>-2</v>
      </c>
      <c r="T39" s="88"/>
    </row>
    <row r="40" spans="3:20" x14ac:dyDescent="0.35">
      <c r="C40" s="44">
        <v>30</v>
      </c>
      <c r="D40" s="44">
        <v>-1</v>
      </c>
      <c r="E40" s="44">
        <f>HLOOKUP($D$5,'Table 37'!$B$3:$F$51,33,FALSE)</f>
        <v>173</v>
      </c>
      <c r="F40" s="79">
        <f t="shared" si="4"/>
        <v>0.65384615384615385</v>
      </c>
      <c r="G40" s="79">
        <f t="shared" si="8"/>
        <v>0</v>
      </c>
      <c r="H40" s="80">
        <f t="shared" si="5"/>
        <v>0</v>
      </c>
      <c r="I40" s="79">
        <f t="shared" si="14"/>
        <v>0</v>
      </c>
      <c r="J40" s="79">
        <f t="shared" si="15"/>
        <v>0</v>
      </c>
      <c r="K40" s="82">
        <f t="shared" si="6"/>
        <v>0</v>
      </c>
      <c r="L40" s="80">
        <f t="shared" si="9"/>
        <v>0</v>
      </c>
      <c r="M40" s="82" t="e">
        <f t="shared" si="16"/>
        <v>#DIV/0!</v>
      </c>
      <c r="N40" s="80" t="e">
        <f t="shared" si="12"/>
        <v>#DIV/0!</v>
      </c>
      <c r="P40" s="80">
        <f t="shared" si="7"/>
        <v>0</v>
      </c>
      <c r="Q40" s="80" t="e">
        <f t="shared" si="13"/>
        <v>#DIV/0!</v>
      </c>
      <c r="R40" s="52">
        <f t="shared" si="10"/>
        <v>-1</v>
      </c>
      <c r="S40" s="84">
        <f t="shared" si="11"/>
        <v>-1</v>
      </c>
      <c r="T40" s="88"/>
    </row>
    <row r="41" spans="3:20" x14ac:dyDescent="0.35">
      <c r="C41" s="44">
        <v>31</v>
      </c>
      <c r="D41" s="44">
        <v>0</v>
      </c>
      <c r="E41" s="44">
        <f>HLOOKUP($D$5,'Table 37'!$B$3:$F$51,34,FALSE)</f>
        <v>240</v>
      </c>
      <c r="F41" s="79">
        <f t="shared" si="4"/>
        <v>0.61538461538461542</v>
      </c>
      <c r="G41" s="79">
        <f t="shared" si="8"/>
        <v>0</v>
      </c>
      <c r="H41" s="80">
        <f t="shared" si="5"/>
        <v>0</v>
      </c>
      <c r="I41" s="79">
        <f t="shared" si="14"/>
        <v>0</v>
      </c>
      <c r="J41" s="79">
        <f t="shared" si="15"/>
        <v>0</v>
      </c>
      <c r="K41" s="82">
        <f t="shared" si="6"/>
        <v>0</v>
      </c>
      <c r="L41" s="80">
        <f t="shared" si="9"/>
        <v>0</v>
      </c>
      <c r="M41" s="82" t="e">
        <f t="shared" si="16"/>
        <v>#DIV/0!</v>
      </c>
      <c r="N41" s="80" t="e">
        <f t="shared" si="12"/>
        <v>#DIV/0!</v>
      </c>
      <c r="P41" s="80">
        <f t="shared" si="7"/>
        <v>0</v>
      </c>
      <c r="Q41" s="80" t="e">
        <f t="shared" si="13"/>
        <v>#DIV/0!</v>
      </c>
      <c r="R41" s="52">
        <f t="shared" si="10"/>
        <v>0</v>
      </c>
      <c r="S41" s="84">
        <f t="shared" si="11"/>
        <v>0</v>
      </c>
      <c r="T41" s="88"/>
    </row>
    <row r="42" spans="3:20" x14ac:dyDescent="0.35">
      <c r="C42" s="44">
        <v>32</v>
      </c>
      <c r="D42" s="44">
        <v>1</v>
      </c>
      <c r="E42" s="44">
        <f>HLOOKUP($D$5,'Table 37'!$B$3:$F$51,35,FALSE)</f>
        <v>280</v>
      </c>
      <c r="F42" s="79">
        <f t="shared" si="4"/>
        <v>0.57692307692307687</v>
      </c>
      <c r="G42" s="79">
        <f t="shared" si="8"/>
        <v>0</v>
      </c>
      <c r="H42" s="80">
        <f t="shared" si="5"/>
        <v>0</v>
      </c>
      <c r="I42" s="79">
        <f t="shared" si="14"/>
        <v>0</v>
      </c>
      <c r="J42" s="79">
        <f t="shared" si="15"/>
        <v>0</v>
      </c>
      <c r="K42" s="82">
        <f t="shared" si="6"/>
        <v>0</v>
      </c>
      <c r="L42" s="80">
        <f t="shared" si="9"/>
        <v>0</v>
      </c>
      <c r="M42" s="82" t="e">
        <f t="shared" si="16"/>
        <v>#DIV/0!</v>
      </c>
      <c r="N42" s="80" t="e">
        <f t="shared" si="12"/>
        <v>#DIV/0!</v>
      </c>
      <c r="P42" s="80">
        <f t="shared" si="7"/>
        <v>0</v>
      </c>
      <c r="Q42" s="80" t="e">
        <f t="shared" si="13"/>
        <v>#DIV/0!</v>
      </c>
      <c r="R42" s="52">
        <f t="shared" si="10"/>
        <v>1</v>
      </c>
      <c r="S42" s="84">
        <f t="shared" si="11"/>
        <v>1</v>
      </c>
      <c r="T42" s="88"/>
    </row>
    <row r="43" spans="3:20" x14ac:dyDescent="0.35">
      <c r="C43" s="44">
        <v>33</v>
      </c>
      <c r="D43" s="44">
        <v>2</v>
      </c>
      <c r="E43" s="44">
        <f>HLOOKUP($D$5,'Table 37'!$B$3:$F$51,36,FALSE)</f>
        <v>320</v>
      </c>
      <c r="F43" s="79">
        <f t="shared" si="4"/>
        <v>0.53846153846153844</v>
      </c>
      <c r="G43" s="79">
        <f t="shared" si="8"/>
        <v>0</v>
      </c>
      <c r="H43" s="80">
        <f t="shared" si="5"/>
        <v>0</v>
      </c>
      <c r="I43" s="81">
        <f>I21</f>
        <v>0</v>
      </c>
      <c r="J43" s="81">
        <f>IF(G43&lt;I21,G43,I21)</f>
        <v>0</v>
      </c>
      <c r="K43" s="82">
        <f t="shared" si="6"/>
        <v>0</v>
      </c>
      <c r="L43" s="80">
        <f t="shared" si="9"/>
        <v>0</v>
      </c>
      <c r="M43" s="83" t="e">
        <f>COPPL_b</f>
        <v>#DIV/0!</v>
      </c>
      <c r="N43" s="80" t="e">
        <f t="shared" si="12"/>
        <v>#DIV/0!</v>
      </c>
      <c r="P43" s="80">
        <f t="shared" si="7"/>
        <v>0</v>
      </c>
      <c r="Q43" s="80" t="e">
        <f t="shared" si="13"/>
        <v>#DIV/0!</v>
      </c>
      <c r="R43" s="52">
        <f t="shared" si="10"/>
        <v>2</v>
      </c>
      <c r="S43" s="84">
        <f t="shared" si="11"/>
        <v>2</v>
      </c>
      <c r="T43" s="88"/>
    </row>
    <row r="44" spans="3:20" x14ac:dyDescent="0.35">
      <c r="C44" s="44">
        <v>34</v>
      </c>
      <c r="D44" s="44">
        <v>3</v>
      </c>
      <c r="E44" s="44">
        <f>HLOOKUP($D$5,'Table 37'!$B$3:$F$51,37,FALSE)</f>
        <v>357</v>
      </c>
      <c r="F44" s="79">
        <f t="shared" si="4"/>
        <v>0.5</v>
      </c>
      <c r="G44" s="79">
        <f t="shared" si="8"/>
        <v>0</v>
      </c>
      <c r="H44" s="80">
        <f t="shared" si="5"/>
        <v>0</v>
      </c>
      <c r="I44" s="79">
        <f>(($I$22-$I$21)/($D$22-$D$21)*(D44-$D$21)+$I$21)</f>
        <v>0</v>
      </c>
      <c r="J44" s="79">
        <f>IF(G44&lt;(($I$22-$I$21)/($D$22-$D$21)*(D44-$D$21)+$I$21),G44,(($I$22-$I$21)/($D$22-$D$21)*(D44-$D$21)+$I$21))</f>
        <v>0</v>
      </c>
      <c r="K44" s="82">
        <f t="shared" si="6"/>
        <v>0</v>
      </c>
      <c r="L44" s="80">
        <f t="shared" si="9"/>
        <v>0</v>
      </c>
      <c r="M44" s="82" t="e">
        <f>((COPPL_c-COPPL_b)/($D$22-$D$21)*(D44-$D$21)+COPPL_b)</f>
        <v>#DIV/0!</v>
      </c>
      <c r="N44" s="80" t="e">
        <f t="shared" si="12"/>
        <v>#DIV/0!</v>
      </c>
      <c r="P44" s="80">
        <f t="shared" si="7"/>
        <v>0</v>
      </c>
      <c r="Q44" s="80" t="e">
        <f t="shared" si="13"/>
        <v>#DIV/0!</v>
      </c>
      <c r="R44" s="52">
        <f t="shared" si="10"/>
        <v>3</v>
      </c>
      <c r="S44" s="84">
        <f t="shared" si="11"/>
        <v>3</v>
      </c>
      <c r="T44" s="88"/>
    </row>
    <row r="45" spans="3:20" x14ac:dyDescent="0.35">
      <c r="C45" s="44">
        <v>35</v>
      </c>
      <c r="D45" s="44">
        <v>4</v>
      </c>
      <c r="E45" s="44">
        <f>HLOOKUP($D$5,'Table 37'!$B$3:$F$51,38,FALSE)</f>
        <v>356</v>
      </c>
      <c r="F45" s="79">
        <f t="shared" si="4"/>
        <v>0.46153846153846156</v>
      </c>
      <c r="G45" s="79">
        <f t="shared" si="8"/>
        <v>0</v>
      </c>
      <c r="H45" s="80">
        <f t="shared" si="5"/>
        <v>0</v>
      </c>
      <c r="I45" s="79">
        <f>(($I$22-$I$21)/($D$22-$D$21)*(D45-$D$21)+$I$21)</f>
        <v>0</v>
      </c>
      <c r="J45" s="79">
        <f>IF(G45&lt;(($I$22-$I$21)/($D$22-$D$21)*(D45-$D$21)+$I$21),G45,(($I$22-$I$21)/($D$22-$D$21)*(D45-$D$21)+$I$21))</f>
        <v>0</v>
      </c>
      <c r="K45" s="82">
        <f t="shared" si="6"/>
        <v>0</v>
      </c>
      <c r="L45" s="80">
        <f t="shared" si="9"/>
        <v>0</v>
      </c>
      <c r="M45" s="82" t="e">
        <f>((COPPL_c-COPPL_b)/($D$22-$D$21)*(D45-$D$21)+COPPL_b)</f>
        <v>#DIV/0!</v>
      </c>
      <c r="N45" s="80" t="e">
        <f t="shared" si="12"/>
        <v>#DIV/0!</v>
      </c>
      <c r="P45" s="80">
        <f t="shared" si="7"/>
        <v>0</v>
      </c>
      <c r="Q45" s="80" t="e">
        <f t="shared" si="13"/>
        <v>#DIV/0!</v>
      </c>
      <c r="R45" s="52">
        <f t="shared" si="10"/>
        <v>4</v>
      </c>
      <c r="S45" s="84">
        <f t="shared" si="11"/>
        <v>4</v>
      </c>
      <c r="T45" s="88"/>
    </row>
    <row r="46" spans="3:20" x14ac:dyDescent="0.35">
      <c r="C46" s="44">
        <v>36</v>
      </c>
      <c r="D46" s="44">
        <v>5</v>
      </c>
      <c r="E46" s="44">
        <f>HLOOKUP($D$5,'Table 37'!$B$3:$F$51,39,FALSE)</f>
        <v>303</v>
      </c>
      <c r="F46" s="79">
        <f t="shared" si="4"/>
        <v>0.42307692307692307</v>
      </c>
      <c r="G46" s="79">
        <f t="shared" si="8"/>
        <v>0</v>
      </c>
      <c r="H46" s="80">
        <f t="shared" si="5"/>
        <v>0</v>
      </c>
      <c r="I46" s="79">
        <f>(($I$22-$I$21)/($D$22-$D$21)*(D46-$D$21)+$I$21)</f>
        <v>0</v>
      </c>
      <c r="J46" s="79">
        <f>IF(G46&lt;(($I$22-$I$21)/($D$22-$D$21)*(D46-$D$21)+$I$21),G46,(($I$22-$I$21)/($D$22-$D$21)*(D46-$D$21)+$I$21))</f>
        <v>0</v>
      </c>
      <c r="K46" s="82">
        <f t="shared" si="6"/>
        <v>0</v>
      </c>
      <c r="L46" s="80">
        <f t="shared" si="9"/>
        <v>0</v>
      </c>
      <c r="M46" s="82" t="e">
        <f>((COPPL_c-COPPL_b)/($D$22-$D$21)*(D46-$D$21)+COPPL_b)</f>
        <v>#DIV/0!</v>
      </c>
      <c r="N46" s="80" t="e">
        <f t="shared" si="12"/>
        <v>#DIV/0!</v>
      </c>
      <c r="P46" s="80">
        <f t="shared" si="7"/>
        <v>0</v>
      </c>
      <c r="Q46" s="80" t="e">
        <f t="shared" si="13"/>
        <v>#DIV/0!</v>
      </c>
      <c r="R46" s="52">
        <f t="shared" si="10"/>
        <v>5</v>
      </c>
      <c r="S46" s="84">
        <f t="shared" si="11"/>
        <v>5</v>
      </c>
      <c r="T46" s="88"/>
    </row>
    <row r="47" spans="3:20" x14ac:dyDescent="0.35">
      <c r="C47" s="44">
        <v>37</v>
      </c>
      <c r="D47" s="44">
        <v>6</v>
      </c>
      <c r="E47" s="44">
        <f>HLOOKUP($D$5,'Table 37'!$B$3:$F$51,40,FALSE)</f>
        <v>330</v>
      </c>
      <c r="F47" s="79">
        <f t="shared" si="4"/>
        <v>0.38461538461538464</v>
      </c>
      <c r="G47" s="79">
        <f t="shared" si="8"/>
        <v>0</v>
      </c>
      <c r="H47" s="80">
        <f t="shared" si="5"/>
        <v>0</v>
      </c>
      <c r="I47" s="79">
        <f>(($I$22-$I$21)/($D$22-$D$21)*(D47-$D$21)+$I$21)</f>
        <v>0</v>
      </c>
      <c r="J47" s="79">
        <f>IF(G47&lt;(($I$22-$I$21)/($D$22-$D$21)*(D47-$D$21)+$I$21),G47,(($I$22-$I$21)/($D$22-$D$21)*(D47-$D$21)+$I$21))</f>
        <v>0</v>
      </c>
      <c r="K47" s="82">
        <f t="shared" si="6"/>
        <v>0</v>
      </c>
      <c r="L47" s="80">
        <f t="shared" si="9"/>
        <v>0</v>
      </c>
      <c r="M47" s="82" t="e">
        <f>((COPPL_c-COPPL_b)/($D$22-$D$21)*(D47-$D$21)+COPPL_b)</f>
        <v>#DIV/0!</v>
      </c>
      <c r="N47" s="80" t="e">
        <f t="shared" si="12"/>
        <v>#DIV/0!</v>
      </c>
      <c r="P47" s="80">
        <f t="shared" si="7"/>
        <v>0</v>
      </c>
      <c r="Q47" s="80" t="e">
        <f t="shared" si="13"/>
        <v>#DIV/0!</v>
      </c>
      <c r="R47" s="52">
        <f t="shared" si="10"/>
        <v>6</v>
      </c>
      <c r="S47" s="84">
        <f t="shared" si="11"/>
        <v>6</v>
      </c>
      <c r="T47" s="88"/>
    </row>
    <row r="48" spans="3:20" x14ac:dyDescent="0.35">
      <c r="C48" s="44">
        <v>38</v>
      </c>
      <c r="D48" s="44">
        <v>7</v>
      </c>
      <c r="E48" s="44">
        <f>HLOOKUP($D$5,'Table 37'!$B$3:$F$51,41,FALSE)</f>
        <v>326</v>
      </c>
      <c r="F48" s="79">
        <f t="shared" si="4"/>
        <v>0.34615384615384615</v>
      </c>
      <c r="G48" s="79">
        <f t="shared" si="8"/>
        <v>0</v>
      </c>
      <c r="H48" s="80">
        <f t="shared" si="5"/>
        <v>0</v>
      </c>
      <c r="I48" s="81">
        <f>I22</f>
        <v>0</v>
      </c>
      <c r="J48" s="81">
        <f>IF(G48&lt;I22,G48,I22)</f>
        <v>0</v>
      </c>
      <c r="K48" s="82">
        <f t="shared" si="6"/>
        <v>0</v>
      </c>
      <c r="L48" s="80">
        <f t="shared" si="9"/>
        <v>0</v>
      </c>
      <c r="M48" s="83" t="e">
        <f>COPPL_c</f>
        <v>#DIV/0!</v>
      </c>
      <c r="N48" s="80" t="e">
        <f t="shared" si="12"/>
        <v>#DIV/0!</v>
      </c>
      <c r="P48" s="80">
        <f t="shared" si="7"/>
        <v>0</v>
      </c>
      <c r="Q48" s="80" t="e">
        <f t="shared" si="13"/>
        <v>#DIV/0!</v>
      </c>
      <c r="R48" s="52">
        <f t="shared" si="10"/>
        <v>7</v>
      </c>
      <c r="S48" s="84">
        <f t="shared" si="11"/>
        <v>7</v>
      </c>
      <c r="T48" s="88"/>
    </row>
    <row r="49" spans="3:24" x14ac:dyDescent="0.35">
      <c r="C49" s="44">
        <v>39</v>
      </c>
      <c r="D49" s="44">
        <v>8</v>
      </c>
      <c r="E49" s="44">
        <f>HLOOKUP($D$5,'Table 37'!$B$3:$F$51,42,FALSE)</f>
        <v>348</v>
      </c>
      <c r="F49" s="79">
        <f t="shared" si="4"/>
        <v>0.30769230769230771</v>
      </c>
      <c r="G49" s="79">
        <f t="shared" si="8"/>
        <v>0</v>
      </c>
      <c r="H49" s="80">
        <f t="shared" si="5"/>
        <v>0</v>
      </c>
      <c r="I49" s="79">
        <f>(($I$23-$I$22)/($D$23-$D$22)*(D49-$D$22)+$I$22)</f>
        <v>0</v>
      </c>
      <c r="J49" s="79">
        <f>IF(G49&lt;(($I$23-$I$22)/($D$23-$D$22)*(D49-$D$22)+$I$22),G49,((($I$23-$I$22)/($D$23-$D$22)*(D49-$D$22)+$I$22)))</f>
        <v>0</v>
      </c>
      <c r="K49" s="82">
        <f t="shared" si="6"/>
        <v>0</v>
      </c>
      <c r="L49" s="80">
        <f t="shared" si="9"/>
        <v>0</v>
      </c>
      <c r="M49" s="82" t="e">
        <f>((COPPL_d-COPPL_c)/($D$23-$D$22)*(D49-$D$22)+COPPL_c)</f>
        <v>#DIV/0!</v>
      </c>
      <c r="N49" s="80" t="e">
        <f t="shared" si="12"/>
        <v>#DIV/0!</v>
      </c>
      <c r="P49" s="80">
        <f t="shared" si="7"/>
        <v>0</v>
      </c>
      <c r="Q49" s="80" t="e">
        <f t="shared" si="13"/>
        <v>#DIV/0!</v>
      </c>
      <c r="R49" s="52">
        <f t="shared" si="10"/>
        <v>8</v>
      </c>
      <c r="S49" s="84">
        <f t="shared" si="11"/>
        <v>8</v>
      </c>
      <c r="T49" s="88"/>
    </row>
    <row r="50" spans="3:24" x14ac:dyDescent="0.35">
      <c r="C50" s="44">
        <v>40</v>
      </c>
      <c r="D50" s="44">
        <v>9</v>
      </c>
      <c r="E50" s="44">
        <f>HLOOKUP($D$5,'Table 37'!$B$3:$F$51,43,FALSE)</f>
        <v>335</v>
      </c>
      <c r="F50" s="79">
        <f t="shared" si="4"/>
        <v>0.26923076923076922</v>
      </c>
      <c r="G50" s="79">
        <f t="shared" si="8"/>
        <v>0</v>
      </c>
      <c r="H50" s="80">
        <f t="shared" si="5"/>
        <v>0</v>
      </c>
      <c r="I50" s="79">
        <f>(($I$23-$I$22)/($D$23-$D$22)*(D50-$D$22)+$I$22)</f>
        <v>0</v>
      </c>
      <c r="J50" s="79">
        <f>IF(G50&lt;(($I$23-$I$22)/($D$23-$D$22)*(D50-$D$22)+$I$22),G50,((($I$23-$I$22)/($D$23-$D$22)*(D50-$D$22)+$I$22)))</f>
        <v>0</v>
      </c>
      <c r="K50" s="82">
        <f t="shared" si="6"/>
        <v>0</v>
      </c>
      <c r="L50" s="80">
        <f t="shared" si="9"/>
        <v>0</v>
      </c>
      <c r="M50" s="82" t="e">
        <f>((COPPL_d-COPPL_c)/($D$23-$D$22)*(D50-$D$22)+COPPL_c)</f>
        <v>#DIV/0!</v>
      </c>
      <c r="N50" s="80" t="e">
        <f t="shared" si="12"/>
        <v>#DIV/0!</v>
      </c>
      <c r="P50" s="80">
        <f t="shared" si="7"/>
        <v>0</v>
      </c>
      <c r="Q50" s="80" t="e">
        <f t="shared" si="13"/>
        <v>#DIV/0!</v>
      </c>
      <c r="R50" s="52">
        <f t="shared" si="10"/>
        <v>9</v>
      </c>
      <c r="S50" s="84">
        <f t="shared" si="11"/>
        <v>9</v>
      </c>
      <c r="T50" s="88"/>
    </row>
    <row r="51" spans="3:24" x14ac:dyDescent="0.35">
      <c r="C51" s="44">
        <v>41</v>
      </c>
      <c r="D51" s="44">
        <v>10</v>
      </c>
      <c r="E51" s="44">
        <f>HLOOKUP($D$5,'Table 37'!$B$3:$F$51,44,FALSE)</f>
        <v>315</v>
      </c>
      <c r="F51" s="79">
        <f t="shared" si="4"/>
        <v>0.23076923076923078</v>
      </c>
      <c r="G51" s="79">
        <f t="shared" si="8"/>
        <v>0</v>
      </c>
      <c r="H51" s="80">
        <f t="shared" si="5"/>
        <v>0</v>
      </c>
      <c r="I51" s="79">
        <f>(($I$23-$I$22)/($D$23-$D$22)*(D51-$D$22)+$I$22)</f>
        <v>0</v>
      </c>
      <c r="J51" s="79">
        <f>IF(G51&lt;(($I$23-$I$22)/($D$23-$D$22)*(D51-$D$22)+$I$22),G51,((($I$23-$I$22)/($D$23-$D$22)*(D51-$D$22)+$I$22)))</f>
        <v>0</v>
      </c>
      <c r="K51" s="82">
        <f t="shared" si="6"/>
        <v>0</v>
      </c>
      <c r="L51" s="80">
        <f t="shared" si="9"/>
        <v>0</v>
      </c>
      <c r="M51" s="82" t="e">
        <f>((COPPL_d-COPPL_c)/($D$23-$D$22)*(D51-$D$22)+COPPL_c)</f>
        <v>#DIV/0!</v>
      </c>
      <c r="N51" s="80" t="e">
        <f t="shared" si="12"/>
        <v>#DIV/0!</v>
      </c>
      <c r="P51" s="80">
        <f t="shared" si="7"/>
        <v>0</v>
      </c>
      <c r="Q51" s="80" t="e">
        <f t="shared" si="13"/>
        <v>#DIV/0!</v>
      </c>
      <c r="R51" s="52">
        <f t="shared" si="10"/>
        <v>10</v>
      </c>
      <c r="S51" s="84">
        <f t="shared" si="11"/>
        <v>10</v>
      </c>
      <c r="T51" s="88"/>
    </row>
    <row r="52" spans="3:24" x14ac:dyDescent="0.35">
      <c r="C52" s="44">
        <v>42</v>
      </c>
      <c r="D52" s="44">
        <v>11</v>
      </c>
      <c r="E52" s="44">
        <f>HLOOKUP($D$5,'Table 37'!$B$3:$F$51,45,FALSE)</f>
        <v>215</v>
      </c>
      <c r="F52" s="79">
        <f t="shared" si="4"/>
        <v>0.19230769230769232</v>
      </c>
      <c r="G52" s="79">
        <f t="shared" si="8"/>
        <v>0</v>
      </c>
      <c r="H52" s="80">
        <f t="shared" si="5"/>
        <v>0</v>
      </c>
      <c r="I52" s="79">
        <f>(($I$23-$I$22)/($D$23-$D$22)*(D52-$D$22)+$I$22)</f>
        <v>0</v>
      </c>
      <c r="J52" s="79">
        <f>IF(G52&lt;(($I$23-$I$22)/($D$23-$D$22)*(D52-$D$22)+$I$22),G52,((($I$23-$I$22)/($D$23-$D$22)*(D52-$D$22)+$I$22)))</f>
        <v>0</v>
      </c>
      <c r="K52" s="82">
        <f t="shared" si="6"/>
        <v>0</v>
      </c>
      <c r="L52" s="80">
        <f t="shared" si="9"/>
        <v>0</v>
      </c>
      <c r="M52" s="82" t="e">
        <f>((COPPL_d-COPPL_c)/($D$23-$D$22)*(D52-$D$22)+COPPL_c)</f>
        <v>#DIV/0!</v>
      </c>
      <c r="N52" s="80" t="e">
        <f t="shared" si="12"/>
        <v>#DIV/0!</v>
      </c>
      <c r="P52" s="80">
        <f t="shared" si="7"/>
        <v>0</v>
      </c>
      <c r="Q52" s="80" t="e">
        <f t="shared" si="13"/>
        <v>#DIV/0!</v>
      </c>
      <c r="R52" s="52">
        <f t="shared" si="10"/>
        <v>11</v>
      </c>
      <c r="S52" s="84">
        <f t="shared" si="11"/>
        <v>11</v>
      </c>
      <c r="T52" s="88"/>
    </row>
    <row r="53" spans="3:24" x14ac:dyDescent="0.35">
      <c r="C53" s="44">
        <v>43</v>
      </c>
      <c r="D53" s="44">
        <v>12</v>
      </c>
      <c r="E53" s="44">
        <f>HLOOKUP($D$5,'Table 37'!$B$3:$F$51,46,FALSE)</f>
        <v>169</v>
      </c>
      <c r="F53" s="79">
        <f t="shared" si="4"/>
        <v>0.15384615384615385</v>
      </c>
      <c r="G53" s="79">
        <f t="shared" si="8"/>
        <v>0</v>
      </c>
      <c r="H53" s="80">
        <f t="shared" si="5"/>
        <v>0</v>
      </c>
      <c r="I53" s="81">
        <f>I23</f>
        <v>0</v>
      </c>
      <c r="J53" s="81">
        <f>IF(G53&lt;I23,G53,I23)</f>
        <v>0</v>
      </c>
      <c r="K53" s="82">
        <f t="shared" si="6"/>
        <v>0</v>
      </c>
      <c r="L53" s="80">
        <f t="shared" si="9"/>
        <v>0</v>
      </c>
      <c r="M53" s="83" t="e">
        <f>COPPL_d</f>
        <v>#DIV/0!</v>
      </c>
      <c r="N53" s="80" t="e">
        <f t="shared" si="12"/>
        <v>#DIV/0!</v>
      </c>
      <c r="P53" s="80">
        <f t="shared" si="7"/>
        <v>0</v>
      </c>
      <c r="Q53" s="80" t="e">
        <f t="shared" si="13"/>
        <v>#DIV/0!</v>
      </c>
      <c r="R53" s="52">
        <f t="shared" si="10"/>
        <v>12</v>
      </c>
      <c r="S53" s="84">
        <f t="shared" si="11"/>
        <v>12</v>
      </c>
      <c r="T53" s="88"/>
    </row>
    <row r="54" spans="3:24" x14ac:dyDescent="0.35">
      <c r="C54" s="44">
        <v>44</v>
      </c>
      <c r="D54" s="44">
        <v>13</v>
      </c>
      <c r="E54" s="44">
        <f>HLOOKUP($D$5,'Table 37'!$B$3:$F$51,47,FALSE)</f>
        <v>151</v>
      </c>
      <c r="F54" s="79">
        <f t="shared" si="4"/>
        <v>0.11538461538461539</v>
      </c>
      <c r="G54" s="79">
        <f t="shared" si="8"/>
        <v>0</v>
      </c>
      <c r="H54" s="80">
        <f t="shared" si="5"/>
        <v>0</v>
      </c>
      <c r="I54" s="79">
        <f>(($I$23-$I$22)/($D$23-$D$22)*(D54-$D$22)+$I$22)</f>
        <v>0</v>
      </c>
      <c r="J54" s="79">
        <f>IF(G54&lt;(($I$23-$I$22)/($D$23-$D$22)*(D54-$D$22)+$I$22),G54,((($I$23-$I$22)/($D$23-$D$22)*(D54-$D$22)+$I$22)))</f>
        <v>0</v>
      </c>
      <c r="K54" s="82">
        <f t="shared" si="6"/>
        <v>0</v>
      </c>
      <c r="L54" s="80">
        <f t="shared" si="9"/>
        <v>0</v>
      </c>
      <c r="M54" s="82" t="e">
        <f>((COPPL_d-COPPL_c)/($D$23-$D$22)*(D54-$D$22)+COPPL_c)</f>
        <v>#DIV/0!</v>
      </c>
      <c r="N54" s="80" t="e">
        <f t="shared" si="12"/>
        <v>#DIV/0!</v>
      </c>
      <c r="P54" s="80">
        <f t="shared" si="7"/>
        <v>0</v>
      </c>
      <c r="Q54" s="80" t="e">
        <f t="shared" si="13"/>
        <v>#DIV/0!</v>
      </c>
      <c r="R54" s="52">
        <f t="shared" si="10"/>
        <v>13</v>
      </c>
      <c r="S54" s="84">
        <f t="shared" si="11"/>
        <v>13</v>
      </c>
      <c r="T54" s="88"/>
    </row>
    <row r="55" spans="3:24" x14ac:dyDescent="0.35">
      <c r="C55" s="44">
        <v>45</v>
      </c>
      <c r="D55" s="44">
        <v>14</v>
      </c>
      <c r="E55" s="44">
        <f>HLOOKUP($D$5,'Table 37'!$B$3:$F$51,48,FALSE)</f>
        <v>105</v>
      </c>
      <c r="F55" s="79">
        <f t="shared" si="4"/>
        <v>7.6923076923076927E-2</v>
      </c>
      <c r="G55" s="79">
        <f t="shared" si="8"/>
        <v>0</v>
      </c>
      <c r="H55" s="80">
        <f t="shared" si="5"/>
        <v>0</v>
      </c>
      <c r="I55" s="79">
        <f>(($I$23-$I$22)/($D$23-$D$22)*(D55-$D$22)+$I$22)</f>
        <v>0</v>
      </c>
      <c r="J55" s="79">
        <f>IF(G55&lt;(($I$23-$I$22)/($D$23-$D$22)*(D55-$D$22)+$I$22),G55,((($I$23-$I$22)/($D$23-$D$22)*(D55-$D$22)+$I$22)))</f>
        <v>0</v>
      </c>
      <c r="K55" s="82">
        <f t="shared" si="6"/>
        <v>0</v>
      </c>
      <c r="L55" s="80">
        <f t="shared" si="9"/>
        <v>0</v>
      </c>
      <c r="M55" s="82" t="e">
        <f>((COPPL_d-COPPL_c)/($D$23-$D$22)*(D55-$D$22)+COPPL_c)</f>
        <v>#DIV/0!</v>
      </c>
      <c r="N55" s="80" t="e">
        <f t="shared" si="12"/>
        <v>#DIV/0!</v>
      </c>
      <c r="P55" s="80">
        <f t="shared" si="7"/>
        <v>0</v>
      </c>
      <c r="Q55" s="80" t="e">
        <f t="shared" si="13"/>
        <v>#DIV/0!</v>
      </c>
      <c r="R55" s="52">
        <f t="shared" si="10"/>
        <v>14</v>
      </c>
      <c r="S55" s="84">
        <f t="shared" si="11"/>
        <v>14</v>
      </c>
      <c r="T55" s="88"/>
    </row>
    <row r="56" spans="3:24" x14ac:dyDescent="0.35">
      <c r="C56" s="44">
        <v>46</v>
      </c>
      <c r="D56" s="44">
        <v>15</v>
      </c>
      <c r="E56" s="44">
        <f>HLOOKUP($D$5,'Table 37'!$B$3:$F$51,49,FALSE)</f>
        <v>74</v>
      </c>
      <c r="F56" s="79">
        <f t="shared" si="4"/>
        <v>3.8461538461538464E-2</v>
      </c>
      <c r="G56" s="79">
        <f t="shared" si="8"/>
        <v>0</v>
      </c>
      <c r="H56" s="80">
        <f t="shared" si="5"/>
        <v>0</v>
      </c>
      <c r="I56" s="79">
        <f>(($I$23-$I$22)/($D$23-$D$22)*(D56-$D$22)+$I$22)</f>
        <v>0</v>
      </c>
      <c r="J56" s="79">
        <f>IF(G56&lt;(($I$23-$I$22)/($D$23-$D$22)*(D56-$D$22)+$I$22),G56,((($I$23-$I$22)/($D$23-$D$22)*(D56-$D$22)+$I$22)))</f>
        <v>0</v>
      </c>
      <c r="K56" s="82">
        <f t="shared" si="6"/>
        <v>0</v>
      </c>
      <c r="L56" s="80">
        <f t="shared" si="9"/>
        <v>0</v>
      </c>
      <c r="M56" s="82" t="e">
        <f>((COPPL_d-COPPL_c)/($D$23-$D$22)*(D56-$D$22)+COPPL_c)</f>
        <v>#DIV/0!</v>
      </c>
      <c r="N56" s="80" t="e">
        <f t="shared" si="12"/>
        <v>#DIV/0!</v>
      </c>
      <c r="P56" s="80">
        <f t="shared" si="7"/>
        <v>0</v>
      </c>
      <c r="Q56" s="80" t="e">
        <f t="shared" si="13"/>
        <v>#DIV/0!</v>
      </c>
      <c r="R56" s="52">
        <f t="shared" si="10"/>
        <v>15</v>
      </c>
      <c r="S56" s="84">
        <f t="shared" si="11"/>
        <v>15</v>
      </c>
      <c r="T56" s="88"/>
    </row>
    <row r="57" spans="3:24" ht="15" thickBot="1" x14ac:dyDescent="0.4">
      <c r="E57" s="39">
        <f>SUM(E31:E56)</f>
        <v>4910</v>
      </c>
      <c r="H57" s="51">
        <f>SUM(H31:H56)</f>
        <v>0</v>
      </c>
      <c r="L57" s="51">
        <f>SUM(L31:L56)</f>
        <v>0</v>
      </c>
      <c r="N57" s="51" t="e">
        <f>SUM(N31:N56)</f>
        <v>#DIV/0!</v>
      </c>
      <c r="P57" s="51">
        <f>SUM(P31:P56)</f>
        <v>0</v>
      </c>
      <c r="Q57" s="51" t="e">
        <f>SUM(Q31:Q56)</f>
        <v>#DIV/0!</v>
      </c>
    </row>
    <row r="58" spans="3:24" ht="17" thickBot="1" x14ac:dyDescent="0.5">
      <c r="M58" s="77" t="s">
        <v>45</v>
      </c>
      <c r="N58" s="78" t="e">
        <f>IF('ErP Inputs'!D8="Low Temperature Heat Pump","N/A",H57/N57)</f>
        <v>#DIV/0!</v>
      </c>
      <c r="P58" s="77" t="s">
        <v>57</v>
      </c>
      <c r="Q58" s="78" t="e">
        <f>IF('ErP Inputs'!D8="Low Temperature Heat Pump","N/A",P57/Q57)</f>
        <v>#DIV/0!</v>
      </c>
    </row>
    <row r="60" spans="3:24" x14ac:dyDescent="0.35">
      <c r="U60" s="38"/>
      <c r="V60" s="38"/>
      <c r="W60" s="38"/>
      <c r="X60" s="38"/>
    </row>
  </sheetData>
  <scenarios current="0" show="0">
    <scenario name="Maximum SCOP_Pdesignh" locked="1" count="1" user="John Davies" comment="Created by John Davies on 22/10/2014_x000a_Modified by John Davies on 22/10/2014">
      <inputCells r="D3" val="14.5"/>
    </scenario>
  </scenarios>
  <conditionalFormatting sqref="P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3">
      <colorScale>
        <cfvo type="num" val="30"/>
        <cfvo type="num" val="80"/>
        <cfvo type="num" val="150"/>
        <color rgb="FFF8696B"/>
        <color rgb="FFFFEB84"/>
        <color rgb="FF63BE7B"/>
      </colorScale>
    </cfRule>
  </conditionalFormatting>
  <conditionalFormatting sqref="Q19">
    <cfRule type="colorScale" priority="1">
      <colorScale>
        <cfvo type="num" val="30"/>
        <cfvo type="percentile" val="60"/>
        <cfvo type="num" val="150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D13" xr:uid="{00000000-0002-0000-0600-000000000000}">
      <formula1>$H$10:$H$12</formula1>
    </dataValidation>
  </dataValidations>
  <printOptions headings="1"/>
  <pageMargins left="0.25" right="0.25" top="0.75" bottom="0.75" header="0.3" footer="0.3"/>
  <pageSetup paperSize="8" scale="2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B2:F52"/>
  <sheetViews>
    <sheetView zoomScale="90" zoomScaleNormal="90" workbookViewId="0">
      <selection activeCell="K17" sqref="K17"/>
    </sheetView>
  </sheetViews>
  <sheetFormatPr defaultRowHeight="14.5" x14ac:dyDescent="0.35"/>
  <cols>
    <col min="1" max="1" width="6.453125" customWidth="1"/>
    <col min="4" max="4" width="11.81640625" bestFit="1" customWidth="1"/>
    <col min="5" max="5" width="11.453125" bestFit="1" customWidth="1"/>
    <col min="6" max="6" width="9.81640625" bestFit="1" customWidth="1"/>
  </cols>
  <sheetData>
    <row r="2" spans="2:6" x14ac:dyDescent="0.35">
      <c r="B2" t="s">
        <v>8</v>
      </c>
    </row>
    <row r="3" spans="2:6" x14ac:dyDescent="0.35">
      <c r="B3" s="6"/>
      <c r="C3" s="6"/>
      <c r="D3" s="5" t="s">
        <v>11</v>
      </c>
      <c r="E3" s="5" t="s">
        <v>9</v>
      </c>
      <c r="F3" s="5" t="s">
        <v>10</v>
      </c>
    </row>
    <row r="4" spans="2:6" x14ac:dyDescent="0.35">
      <c r="B4" s="5" t="s">
        <v>0</v>
      </c>
      <c r="C4" s="5" t="s">
        <v>1</v>
      </c>
      <c r="D4" s="5" t="s">
        <v>3</v>
      </c>
      <c r="E4" s="5" t="s">
        <v>5</v>
      </c>
      <c r="F4" s="5" t="s">
        <v>6</v>
      </c>
    </row>
    <row r="5" spans="2:6" x14ac:dyDescent="0.35">
      <c r="B5" s="2"/>
      <c r="C5" s="4" t="s">
        <v>2</v>
      </c>
      <c r="D5" s="3" t="s">
        <v>4</v>
      </c>
      <c r="E5" s="3" t="s">
        <v>4</v>
      </c>
      <c r="F5" s="3" t="s">
        <v>4</v>
      </c>
    </row>
    <row r="6" spans="2:6" x14ac:dyDescent="0.35">
      <c r="B6" s="3">
        <v>1</v>
      </c>
      <c r="C6" s="3">
        <v>-30</v>
      </c>
      <c r="D6" s="3">
        <v>0</v>
      </c>
      <c r="E6" s="3">
        <v>0</v>
      </c>
      <c r="F6" s="3">
        <v>0</v>
      </c>
    </row>
    <row r="7" spans="2:6" x14ac:dyDescent="0.35">
      <c r="B7" s="3">
        <v>2</v>
      </c>
      <c r="C7" s="3">
        <v>-29</v>
      </c>
      <c r="D7" s="3">
        <v>0</v>
      </c>
      <c r="E7" s="3">
        <v>0</v>
      </c>
      <c r="F7" s="3">
        <v>0</v>
      </c>
    </row>
    <row r="8" spans="2:6" x14ac:dyDescent="0.35">
      <c r="B8" s="3">
        <v>3</v>
      </c>
      <c r="C8" s="3">
        <v>-28</v>
      </c>
      <c r="D8" s="3">
        <v>0</v>
      </c>
      <c r="E8" s="3">
        <v>0</v>
      </c>
      <c r="F8" s="3">
        <v>0</v>
      </c>
    </row>
    <row r="9" spans="2:6" x14ac:dyDescent="0.35">
      <c r="B9" s="3">
        <v>4</v>
      </c>
      <c r="C9" s="3">
        <v>-27</v>
      </c>
      <c r="D9" s="3">
        <v>0</v>
      </c>
      <c r="E9" s="3">
        <v>0</v>
      </c>
      <c r="F9" s="3">
        <v>0</v>
      </c>
    </row>
    <row r="10" spans="2:6" x14ac:dyDescent="0.35">
      <c r="B10" s="3">
        <v>5</v>
      </c>
      <c r="C10" s="3">
        <v>-26</v>
      </c>
      <c r="D10" s="3">
        <v>0</v>
      </c>
      <c r="E10" s="3">
        <v>0</v>
      </c>
      <c r="F10" s="3">
        <v>0</v>
      </c>
    </row>
    <row r="11" spans="2:6" x14ac:dyDescent="0.35">
      <c r="B11" s="3">
        <v>6</v>
      </c>
      <c r="C11" s="3">
        <v>-25</v>
      </c>
      <c r="D11" s="3">
        <v>0</v>
      </c>
      <c r="E11" s="3">
        <v>0</v>
      </c>
      <c r="F11" s="3">
        <v>0</v>
      </c>
    </row>
    <row r="12" spans="2:6" x14ac:dyDescent="0.35">
      <c r="B12" s="3">
        <v>7</v>
      </c>
      <c r="C12" s="3">
        <v>-24</v>
      </c>
      <c r="D12" s="3">
        <v>0</v>
      </c>
      <c r="E12" s="3">
        <v>0</v>
      </c>
      <c r="F12" s="3">
        <v>0</v>
      </c>
    </row>
    <row r="13" spans="2:6" x14ac:dyDescent="0.35">
      <c r="B13" s="3">
        <v>8</v>
      </c>
      <c r="C13" s="3">
        <v>-23</v>
      </c>
      <c r="D13" s="3">
        <v>0</v>
      </c>
      <c r="E13" s="3">
        <v>0</v>
      </c>
      <c r="F13" s="3">
        <v>0</v>
      </c>
    </row>
    <row r="14" spans="2:6" x14ac:dyDescent="0.35">
      <c r="B14" s="3">
        <v>9</v>
      </c>
      <c r="C14" s="3">
        <v>-22</v>
      </c>
      <c r="D14" s="3">
        <v>0</v>
      </c>
      <c r="E14" s="3">
        <v>0</v>
      </c>
      <c r="F14" s="3">
        <v>1</v>
      </c>
    </row>
    <row r="15" spans="2:6" x14ac:dyDescent="0.35">
      <c r="B15" s="3">
        <v>10</v>
      </c>
      <c r="C15" s="3">
        <v>-21</v>
      </c>
      <c r="D15" s="3">
        <v>0</v>
      </c>
      <c r="E15" s="3">
        <v>0</v>
      </c>
      <c r="F15" s="3">
        <v>6</v>
      </c>
    </row>
    <row r="16" spans="2:6" x14ac:dyDescent="0.35">
      <c r="B16" s="3">
        <v>11</v>
      </c>
      <c r="C16" s="3">
        <v>-20</v>
      </c>
      <c r="D16" s="3">
        <v>0</v>
      </c>
      <c r="E16" s="3">
        <v>0</v>
      </c>
      <c r="F16" s="3">
        <v>13</v>
      </c>
    </row>
    <row r="17" spans="2:6" x14ac:dyDescent="0.35">
      <c r="B17" s="3">
        <v>12</v>
      </c>
      <c r="C17" s="3">
        <v>-19</v>
      </c>
      <c r="D17" s="3">
        <v>0</v>
      </c>
      <c r="E17" s="3">
        <v>0</v>
      </c>
      <c r="F17" s="3">
        <v>17</v>
      </c>
    </row>
    <row r="18" spans="2:6" x14ac:dyDescent="0.35">
      <c r="B18" s="3">
        <v>13</v>
      </c>
      <c r="C18" s="3">
        <v>-18</v>
      </c>
      <c r="D18" s="3">
        <v>0</v>
      </c>
      <c r="E18" s="3">
        <v>0</v>
      </c>
      <c r="F18" s="3">
        <v>19</v>
      </c>
    </row>
    <row r="19" spans="2:6" x14ac:dyDescent="0.35">
      <c r="B19" s="3">
        <v>14</v>
      </c>
      <c r="C19" s="3">
        <v>-17</v>
      </c>
      <c r="D19" s="3">
        <v>0</v>
      </c>
      <c r="E19" s="3">
        <v>0</v>
      </c>
      <c r="F19" s="3">
        <v>26</v>
      </c>
    </row>
    <row r="20" spans="2:6" x14ac:dyDescent="0.35">
      <c r="B20" s="3">
        <v>15</v>
      </c>
      <c r="C20" s="3">
        <v>-16</v>
      </c>
      <c r="D20" s="3">
        <v>0</v>
      </c>
      <c r="E20" s="3">
        <v>0</v>
      </c>
      <c r="F20" s="3">
        <v>39</v>
      </c>
    </row>
    <row r="21" spans="2:6" x14ac:dyDescent="0.35">
      <c r="B21" s="3">
        <v>16</v>
      </c>
      <c r="C21" s="3">
        <v>-15</v>
      </c>
      <c r="D21" s="3">
        <v>0</v>
      </c>
      <c r="E21" s="3">
        <v>0</v>
      </c>
      <c r="F21" s="3">
        <v>41</v>
      </c>
    </row>
    <row r="22" spans="2:6" x14ac:dyDescent="0.35">
      <c r="B22" s="3">
        <v>17</v>
      </c>
      <c r="C22" s="3">
        <v>-14</v>
      </c>
      <c r="D22" s="3">
        <v>0</v>
      </c>
      <c r="E22" s="3">
        <v>0</v>
      </c>
      <c r="F22" s="3">
        <v>35</v>
      </c>
    </row>
    <row r="23" spans="2:6" x14ac:dyDescent="0.35">
      <c r="B23" s="3">
        <v>18</v>
      </c>
      <c r="C23" s="3">
        <v>-13</v>
      </c>
      <c r="D23" s="3">
        <v>0</v>
      </c>
      <c r="E23" s="3">
        <v>0</v>
      </c>
      <c r="F23" s="3">
        <v>52</v>
      </c>
    </row>
    <row r="24" spans="2:6" x14ac:dyDescent="0.35">
      <c r="B24" s="3">
        <v>19</v>
      </c>
      <c r="C24" s="3">
        <v>-12</v>
      </c>
      <c r="D24" s="3">
        <v>0</v>
      </c>
      <c r="E24" s="3">
        <v>0</v>
      </c>
      <c r="F24" s="3">
        <v>37</v>
      </c>
    </row>
    <row r="25" spans="2:6" x14ac:dyDescent="0.35">
      <c r="B25" s="3">
        <v>20</v>
      </c>
      <c r="C25" s="3">
        <v>-11</v>
      </c>
      <c r="D25" s="3">
        <v>0</v>
      </c>
      <c r="E25" s="3">
        <v>0</v>
      </c>
      <c r="F25" s="3">
        <v>41</v>
      </c>
    </row>
    <row r="26" spans="2:6" x14ac:dyDescent="0.35">
      <c r="B26" s="3">
        <v>21</v>
      </c>
      <c r="C26" s="3">
        <v>-10</v>
      </c>
      <c r="D26" s="3">
        <v>0</v>
      </c>
      <c r="E26" s="3">
        <v>1</v>
      </c>
      <c r="F26" s="3">
        <v>43</v>
      </c>
    </row>
    <row r="27" spans="2:6" x14ac:dyDescent="0.35">
      <c r="B27" s="3">
        <v>22</v>
      </c>
      <c r="C27" s="3">
        <v>-9</v>
      </c>
      <c r="D27" s="3">
        <v>0</v>
      </c>
      <c r="E27" s="3">
        <v>25</v>
      </c>
      <c r="F27" s="3">
        <v>54</v>
      </c>
    </row>
    <row r="28" spans="2:6" x14ac:dyDescent="0.35">
      <c r="B28" s="3">
        <v>23</v>
      </c>
      <c r="C28" s="3">
        <v>-8</v>
      </c>
      <c r="D28" s="3">
        <v>0</v>
      </c>
      <c r="E28" s="3">
        <v>23</v>
      </c>
      <c r="F28" s="3">
        <v>90</v>
      </c>
    </row>
    <row r="29" spans="2:6" x14ac:dyDescent="0.35">
      <c r="B29" s="3">
        <v>24</v>
      </c>
      <c r="C29" s="3">
        <v>-7</v>
      </c>
      <c r="D29" s="3">
        <v>0</v>
      </c>
      <c r="E29" s="3">
        <v>24</v>
      </c>
      <c r="F29" s="3">
        <v>125</v>
      </c>
    </row>
    <row r="30" spans="2:6" x14ac:dyDescent="0.35">
      <c r="B30" s="3">
        <v>25</v>
      </c>
      <c r="C30" s="3">
        <v>-6</v>
      </c>
      <c r="D30" s="3">
        <v>0</v>
      </c>
      <c r="E30" s="3">
        <v>27</v>
      </c>
      <c r="F30" s="3">
        <v>169</v>
      </c>
    </row>
    <row r="31" spans="2:6" x14ac:dyDescent="0.35">
      <c r="B31" s="3">
        <v>26</v>
      </c>
      <c r="C31" s="3">
        <v>-5</v>
      </c>
      <c r="D31" s="3">
        <v>0</v>
      </c>
      <c r="E31" s="3">
        <v>68</v>
      </c>
      <c r="F31" s="3">
        <v>195</v>
      </c>
    </row>
    <row r="32" spans="2:6" x14ac:dyDescent="0.35">
      <c r="B32" s="3">
        <v>27</v>
      </c>
      <c r="C32" s="3">
        <v>-4</v>
      </c>
      <c r="D32" s="3">
        <v>0</v>
      </c>
      <c r="E32" s="3">
        <v>91</v>
      </c>
      <c r="F32" s="3">
        <v>278</v>
      </c>
    </row>
    <row r="33" spans="2:6" x14ac:dyDescent="0.35">
      <c r="B33" s="3">
        <v>28</v>
      </c>
      <c r="C33" s="3">
        <v>-3</v>
      </c>
      <c r="D33" s="3">
        <v>0</v>
      </c>
      <c r="E33" s="3">
        <v>89</v>
      </c>
      <c r="F33" s="3">
        <v>306</v>
      </c>
    </row>
    <row r="34" spans="2:6" x14ac:dyDescent="0.35">
      <c r="B34" s="3">
        <v>29</v>
      </c>
      <c r="C34" s="3">
        <v>-2</v>
      </c>
      <c r="D34" s="3">
        <v>0</v>
      </c>
      <c r="E34" s="3">
        <v>165</v>
      </c>
      <c r="F34" s="3">
        <v>454</v>
      </c>
    </row>
    <row r="35" spans="2:6" x14ac:dyDescent="0.35">
      <c r="B35" s="3">
        <v>30</v>
      </c>
      <c r="C35" s="3">
        <v>-1</v>
      </c>
      <c r="D35" s="3">
        <v>0</v>
      </c>
      <c r="E35" s="3">
        <v>173</v>
      </c>
      <c r="F35" s="3">
        <v>385</v>
      </c>
    </row>
    <row r="36" spans="2:6" x14ac:dyDescent="0.35">
      <c r="B36" s="3">
        <v>31</v>
      </c>
      <c r="C36" s="3">
        <v>0</v>
      </c>
      <c r="D36" s="3">
        <v>0</v>
      </c>
      <c r="E36" s="3">
        <v>240</v>
      </c>
      <c r="F36" s="3">
        <v>490</v>
      </c>
    </row>
    <row r="37" spans="2:6" x14ac:dyDescent="0.35">
      <c r="B37" s="3">
        <v>32</v>
      </c>
      <c r="C37" s="3">
        <v>1</v>
      </c>
      <c r="D37" s="3">
        <v>0</v>
      </c>
      <c r="E37" s="3">
        <v>280</v>
      </c>
      <c r="F37" s="3">
        <v>533</v>
      </c>
    </row>
    <row r="38" spans="2:6" x14ac:dyDescent="0.35">
      <c r="B38" s="3">
        <v>33</v>
      </c>
      <c r="C38" s="3">
        <v>2</v>
      </c>
      <c r="D38" s="3">
        <v>3</v>
      </c>
      <c r="E38" s="3">
        <v>320</v>
      </c>
      <c r="F38" s="3">
        <v>380</v>
      </c>
    </row>
    <row r="39" spans="2:6" x14ac:dyDescent="0.35">
      <c r="B39" s="3">
        <v>34</v>
      </c>
      <c r="C39" s="3">
        <v>3</v>
      </c>
      <c r="D39" s="3">
        <v>22</v>
      </c>
      <c r="E39" s="3">
        <v>357</v>
      </c>
      <c r="F39" s="3">
        <v>228</v>
      </c>
    </row>
    <row r="40" spans="2:6" x14ac:dyDescent="0.35">
      <c r="B40" s="3">
        <v>35</v>
      </c>
      <c r="C40" s="3">
        <v>4</v>
      </c>
      <c r="D40" s="3">
        <v>63</v>
      </c>
      <c r="E40" s="3">
        <v>356</v>
      </c>
      <c r="F40" s="3">
        <v>261</v>
      </c>
    </row>
    <row r="41" spans="2:6" x14ac:dyDescent="0.35">
      <c r="B41" s="3">
        <v>36</v>
      </c>
      <c r="C41" s="3">
        <v>5</v>
      </c>
      <c r="D41" s="3">
        <v>63</v>
      </c>
      <c r="E41" s="3">
        <v>303</v>
      </c>
      <c r="F41" s="3">
        <v>279</v>
      </c>
    </row>
    <row r="42" spans="2:6" x14ac:dyDescent="0.35">
      <c r="B42" s="3">
        <v>37</v>
      </c>
      <c r="C42" s="3">
        <v>6</v>
      </c>
      <c r="D42" s="3">
        <v>175</v>
      </c>
      <c r="E42" s="3">
        <v>330</v>
      </c>
      <c r="F42" s="3">
        <v>229</v>
      </c>
    </row>
    <row r="43" spans="2:6" x14ac:dyDescent="0.35">
      <c r="B43" s="3">
        <v>38</v>
      </c>
      <c r="C43" s="3">
        <v>7</v>
      </c>
      <c r="D43" s="3">
        <v>162</v>
      </c>
      <c r="E43" s="3">
        <v>326</v>
      </c>
      <c r="F43" s="3">
        <v>269</v>
      </c>
    </row>
    <row r="44" spans="2:6" x14ac:dyDescent="0.35">
      <c r="B44" s="3">
        <v>39</v>
      </c>
      <c r="C44" s="3">
        <v>8</v>
      </c>
      <c r="D44" s="3">
        <v>259</v>
      </c>
      <c r="E44" s="3">
        <v>348</v>
      </c>
      <c r="F44" s="3">
        <v>233</v>
      </c>
    </row>
    <row r="45" spans="2:6" x14ac:dyDescent="0.35">
      <c r="B45" s="3">
        <v>40</v>
      </c>
      <c r="C45" s="3">
        <v>9</v>
      </c>
      <c r="D45" s="3">
        <v>360</v>
      </c>
      <c r="E45" s="3">
        <v>335</v>
      </c>
      <c r="F45" s="3">
        <v>230</v>
      </c>
    </row>
    <row r="46" spans="2:6" x14ac:dyDescent="0.35">
      <c r="B46" s="3">
        <v>41</v>
      </c>
      <c r="C46" s="3">
        <v>10</v>
      </c>
      <c r="D46" s="3">
        <v>428</v>
      </c>
      <c r="E46" s="3">
        <v>315</v>
      </c>
      <c r="F46" s="3">
        <v>243</v>
      </c>
    </row>
    <row r="47" spans="2:6" x14ac:dyDescent="0.35">
      <c r="B47" s="3">
        <v>42</v>
      </c>
      <c r="C47" s="3">
        <v>11</v>
      </c>
      <c r="D47" s="3">
        <v>430</v>
      </c>
      <c r="E47" s="3">
        <v>215</v>
      </c>
      <c r="F47" s="3">
        <v>191</v>
      </c>
    </row>
    <row r="48" spans="2:6" x14ac:dyDescent="0.35">
      <c r="B48" s="3">
        <v>43</v>
      </c>
      <c r="C48" s="3">
        <v>12</v>
      </c>
      <c r="D48" s="3">
        <v>503</v>
      </c>
      <c r="E48" s="3">
        <v>169</v>
      </c>
      <c r="F48" s="3">
        <v>146</v>
      </c>
    </row>
    <row r="49" spans="2:6" x14ac:dyDescent="0.35">
      <c r="B49" s="3">
        <v>44</v>
      </c>
      <c r="C49" s="3">
        <v>13</v>
      </c>
      <c r="D49" s="3">
        <v>444</v>
      </c>
      <c r="E49" s="3">
        <v>151</v>
      </c>
      <c r="F49" s="3">
        <v>150</v>
      </c>
    </row>
    <row r="50" spans="2:6" x14ac:dyDescent="0.35">
      <c r="B50" s="3">
        <v>45</v>
      </c>
      <c r="C50" s="3">
        <v>14</v>
      </c>
      <c r="D50" s="3">
        <v>384</v>
      </c>
      <c r="E50" s="3">
        <v>105</v>
      </c>
      <c r="F50" s="3">
        <v>97</v>
      </c>
    </row>
    <row r="51" spans="2:6" x14ac:dyDescent="0.35">
      <c r="B51" s="3">
        <v>46</v>
      </c>
      <c r="C51" s="3">
        <v>15</v>
      </c>
      <c r="D51" s="3">
        <v>294</v>
      </c>
      <c r="E51" s="3">
        <v>74</v>
      </c>
      <c r="F51" s="3">
        <v>61</v>
      </c>
    </row>
    <row r="52" spans="2:6" x14ac:dyDescent="0.35">
      <c r="C52" t="s">
        <v>7</v>
      </c>
      <c r="D52" s="1">
        <f>SUM(D6:D51)</f>
        <v>3590</v>
      </c>
      <c r="E52" s="1">
        <f>SUM(E6:E51)</f>
        <v>4910</v>
      </c>
      <c r="F52" s="1">
        <f>SUM(F6:F51)</f>
        <v>6446</v>
      </c>
    </row>
  </sheetData>
  <sheetProtection algorithmName="SHA-512" hashValue="MVs2dq86u5UYdKA77sMlr9TEilMxoMRSj7oC+YxdruhVyogiUMc23iKRsM+gDRWC58/WneWWObDCOMhgaXP51Q==" saltValue="FWEscW8T/wxOU8BotayWTQ==" spinCount="100000" sheet="1" objects="1" scenarios="1" selectLockedCells="1" selectUnlockedCells="1"/>
  <pageMargins left="0.25" right="0.25" top="0.75" bottom="0.75" header="0.3" footer="0.3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23"/>
  <sheetViews>
    <sheetView showGridLines="0" workbookViewId="0">
      <selection activeCell="G7" sqref="G7"/>
    </sheetView>
  </sheetViews>
  <sheetFormatPr defaultColWidth="8.81640625" defaultRowHeight="12.5" x14ac:dyDescent="0.25"/>
  <cols>
    <col min="1" max="1" width="4.1796875" style="27" customWidth="1"/>
    <col min="2" max="2" width="10.1796875" style="27" bestFit="1" customWidth="1"/>
    <col min="3" max="3" width="12.1796875" style="27" customWidth="1"/>
    <col min="4" max="4" width="55.7265625" style="27" customWidth="1"/>
    <col min="5" max="256" width="8.81640625" style="27"/>
    <col min="257" max="257" width="4.1796875" style="27" customWidth="1"/>
    <col min="258" max="258" width="10.1796875" style="27" bestFit="1" customWidth="1"/>
    <col min="259" max="259" width="12.1796875" style="27" customWidth="1"/>
    <col min="260" max="260" width="55.7265625" style="27" customWidth="1"/>
    <col min="261" max="512" width="8.81640625" style="27"/>
    <col min="513" max="513" width="4.1796875" style="27" customWidth="1"/>
    <col min="514" max="514" width="10.1796875" style="27" bestFit="1" customWidth="1"/>
    <col min="515" max="515" width="12.1796875" style="27" customWidth="1"/>
    <col min="516" max="516" width="55.7265625" style="27" customWidth="1"/>
    <col min="517" max="768" width="8.81640625" style="27"/>
    <col min="769" max="769" width="4.1796875" style="27" customWidth="1"/>
    <col min="770" max="770" width="10.1796875" style="27" bestFit="1" customWidth="1"/>
    <col min="771" max="771" width="12.1796875" style="27" customWidth="1"/>
    <col min="772" max="772" width="55.7265625" style="27" customWidth="1"/>
    <col min="773" max="1024" width="8.81640625" style="27"/>
    <col min="1025" max="1025" width="4.1796875" style="27" customWidth="1"/>
    <col min="1026" max="1026" width="10.1796875" style="27" bestFit="1" customWidth="1"/>
    <col min="1027" max="1027" width="12.1796875" style="27" customWidth="1"/>
    <col min="1028" max="1028" width="55.7265625" style="27" customWidth="1"/>
    <col min="1029" max="1280" width="8.81640625" style="27"/>
    <col min="1281" max="1281" width="4.1796875" style="27" customWidth="1"/>
    <col min="1282" max="1282" width="10.1796875" style="27" bestFit="1" customWidth="1"/>
    <col min="1283" max="1283" width="12.1796875" style="27" customWidth="1"/>
    <col min="1284" max="1284" width="55.7265625" style="27" customWidth="1"/>
    <col min="1285" max="1536" width="8.81640625" style="27"/>
    <col min="1537" max="1537" width="4.1796875" style="27" customWidth="1"/>
    <col min="1538" max="1538" width="10.1796875" style="27" bestFit="1" customWidth="1"/>
    <col min="1539" max="1539" width="12.1796875" style="27" customWidth="1"/>
    <col min="1540" max="1540" width="55.7265625" style="27" customWidth="1"/>
    <col min="1541" max="1792" width="8.81640625" style="27"/>
    <col min="1793" max="1793" width="4.1796875" style="27" customWidth="1"/>
    <col min="1794" max="1794" width="10.1796875" style="27" bestFit="1" customWidth="1"/>
    <col min="1795" max="1795" width="12.1796875" style="27" customWidth="1"/>
    <col min="1796" max="1796" width="55.7265625" style="27" customWidth="1"/>
    <col min="1797" max="2048" width="8.81640625" style="27"/>
    <col min="2049" max="2049" width="4.1796875" style="27" customWidth="1"/>
    <col min="2050" max="2050" width="10.1796875" style="27" bestFit="1" customWidth="1"/>
    <col min="2051" max="2051" width="12.1796875" style="27" customWidth="1"/>
    <col min="2052" max="2052" width="55.7265625" style="27" customWidth="1"/>
    <col min="2053" max="2304" width="8.81640625" style="27"/>
    <col min="2305" max="2305" width="4.1796875" style="27" customWidth="1"/>
    <col min="2306" max="2306" width="10.1796875" style="27" bestFit="1" customWidth="1"/>
    <col min="2307" max="2307" width="12.1796875" style="27" customWidth="1"/>
    <col min="2308" max="2308" width="55.7265625" style="27" customWidth="1"/>
    <col min="2309" max="2560" width="8.81640625" style="27"/>
    <col min="2561" max="2561" width="4.1796875" style="27" customWidth="1"/>
    <col min="2562" max="2562" width="10.1796875" style="27" bestFit="1" customWidth="1"/>
    <col min="2563" max="2563" width="12.1796875" style="27" customWidth="1"/>
    <col min="2564" max="2564" width="55.7265625" style="27" customWidth="1"/>
    <col min="2565" max="2816" width="8.81640625" style="27"/>
    <col min="2817" max="2817" width="4.1796875" style="27" customWidth="1"/>
    <col min="2818" max="2818" width="10.1796875" style="27" bestFit="1" customWidth="1"/>
    <col min="2819" max="2819" width="12.1796875" style="27" customWidth="1"/>
    <col min="2820" max="2820" width="55.7265625" style="27" customWidth="1"/>
    <col min="2821" max="3072" width="8.81640625" style="27"/>
    <col min="3073" max="3073" width="4.1796875" style="27" customWidth="1"/>
    <col min="3074" max="3074" width="10.1796875" style="27" bestFit="1" customWidth="1"/>
    <col min="3075" max="3075" width="12.1796875" style="27" customWidth="1"/>
    <col min="3076" max="3076" width="55.7265625" style="27" customWidth="1"/>
    <col min="3077" max="3328" width="8.81640625" style="27"/>
    <col min="3329" max="3329" width="4.1796875" style="27" customWidth="1"/>
    <col min="3330" max="3330" width="10.1796875" style="27" bestFit="1" customWidth="1"/>
    <col min="3331" max="3331" width="12.1796875" style="27" customWidth="1"/>
    <col min="3332" max="3332" width="55.7265625" style="27" customWidth="1"/>
    <col min="3333" max="3584" width="8.81640625" style="27"/>
    <col min="3585" max="3585" width="4.1796875" style="27" customWidth="1"/>
    <col min="3586" max="3586" width="10.1796875" style="27" bestFit="1" customWidth="1"/>
    <col min="3587" max="3587" width="12.1796875" style="27" customWidth="1"/>
    <col min="3588" max="3588" width="55.7265625" style="27" customWidth="1"/>
    <col min="3589" max="3840" width="8.81640625" style="27"/>
    <col min="3841" max="3841" width="4.1796875" style="27" customWidth="1"/>
    <col min="3842" max="3842" width="10.1796875" style="27" bestFit="1" customWidth="1"/>
    <col min="3843" max="3843" width="12.1796875" style="27" customWidth="1"/>
    <col min="3844" max="3844" width="55.7265625" style="27" customWidth="1"/>
    <col min="3845" max="4096" width="8.81640625" style="27"/>
    <col min="4097" max="4097" width="4.1796875" style="27" customWidth="1"/>
    <col min="4098" max="4098" width="10.1796875" style="27" bestFit="1" customWidth="1"/>
    <col min="4099" max="4099" width="12.1796875" style="27" customWidth="1"/>
    <col min="4100" max="4100" width="55.7265625" style="27" customWidth="1"/>
    <col min="4101" max="4352" width="8.81640625" style="27"/>
    <col min="4353" max="4353" width="4.1796875" style="27" customWidth="1"/>
    <col min="4354" max="4354" width="10.1796875" style="27" bestFit="1" customWidth="1"/>
    <col min="4355" max="4355" width="12.1796875" style="27" customWidth="1"/>
    <col min="4356" max="4356" width="55.7265625" style="27" customWidth="1"/>
    <col min="4357" max="4608" width="8.81640625" style="27"/>
    <col min="4609" max="4609" width="4.1796875" style="27" customWidth="1"/>
    <col min="4610" max="4610" width="10.1796875" style="27" bestFit="1" customWidth="1"/>
    <col min="4611" max="4611" width="12.1796875" style="27" customWidth="1"/>
    <col min="4612" max="4612" width="55.7265625" style="27" customWidth="1"/>
    <col min="4613" max="4864" width="8.81640625" style="27"/>
    <col min="4865" max="4865" width="4.1796875" style="27" customWidth="1"/>
    <col min="4866" max="4866" width="10.1796875" style="27" bestFit="1" customWidth="1"/>
    <col min="4867" max="4867" width="12.1796875" style="27" customWidth="1"/>
    <col min="4868" max="4868" width="55.7265625" style="27" customWidth="1"/>
    <col min="4869" max="5120" width="8.81640625" style="27"/>
    <col min="5121" max="5121" width="4.1796875" style="27" customWidth="1"/>
    <col min="5122" max="5122" width="10.1796875" style="27" bestFit="1" customWidth="1"/>
    <col min="5123" max="5123" width="12.1796875" style="27" customWidth="1"/>
    <col min="5124" max="5124" width="55.7265625" style="27" customWidth="1"/>
    <col min="5125" max="5376" width="8.81640625" style="27"/>
    <col min="5377" max="5377" width="4.1796875" style="27" customWidth="1"/>
    <col min="5378" max="5378" width="10.1796875" style="27" bestFit="1" customWidth="1"/>
    <col min="5379" max="5379" width="12.1796875" style="27" customWidth="1"/>
    <col min="5380" max="5380" width="55.7265625" style="27" customWidth="1"/>
    <col min="5381" max="5632" width="8.81640625" style="27"/>
    <col min="5633" max="5633" width="4.1796875" style="27" customWidth="1"/>
    <col min="5634" max="5634" width="10.1796875" style="27" bestFit="1" customWidth="1"/>
    <col min="5635" max="5635" width="12.1796875" style="27" customWidth="1"/>
    <col min="5636" max="5636" width="55.7265625" style="27" customWidth="1"/>
    <col min="5637" max="5888" width="8.81640625" style="27"/>
    <col min="5889" max="5889" width="4.1796875" style="27" customWidth="1"/>
    <col min="5890" max="5890" width="10.1796875" style="27" bestFit="1" customWidth="1"/>
    <col min="5891" max="5891" width="12.1796875" style="27" customWidth="1"/>
    <col min="5892" max="5892" width="55.7265625" style="27" customWidth="1"/>
    <col min="5893" max="6144" width="8.81640625" style="27"/>
    <col min="6145" max="6145" width="4.1796875" style="27" customWidth="1"/>
    <col min="6146" max="6146" width="10.1796875" style="27" bestFit="1" customWidth="1"/>
    <col min="6147" max="6147" width="12.1796875" style="27" customWidth="1"/>
    <col min="6148" max="6148" width="55.7265625" style="27" customWidth="1"/>
    <col min="6149" max="6400" width="8.81640625" style="27"/>
    <col min="6401" max="6401" width="4.1796875" style="27" customWidth="1"/>
    <col min="6402" max="6402" width="10.1796875" style="27" bestFit="1" customWidth="1"/>
    <col min="6403" max="6403" width="12.1796875" style="27" customWidth="1"/>
    <col min="6404" max="6404" width="55.7265625" style="27" customWidth="1"/>
    <col min="6405" max="6656" width="8.81640625" style="27"/>
    <col min="6657" max="6657" width="4.1796875" style="27" customWidth="1"/>
    <col min="6658" max="6658" width="10.1796875" style="27" bestFit="1" customWidth="1"/>
    <col min="6659" max="6659" width="12.1796875" style="27" customWidth="1"/>
    <col min="6660" max="6660" width="55.7265625" style="27" customWidth="1"/>
    <col min="6661" max="6912" width="8.81640625" style="27"/>
    <col min="6913" max="6913" width="4.1796875" style="27" customWidth="1"/>
    <col min="6914" max="6914" width="10.1796875" style="27" bestFit="1" customWidth="1"/>
    <col min="6915" max="6915" width="12.1796875" style="27" customWidth="1"/>
    <col min="6916" max="6916" width="55.7265625" style="27" customWidth="1"/>
    <col min="6917" max="7168" width="8.81640625" style="27"/>
    <col min="7169" max="7169" width="4.1796875" style="27" customWidth="1"/>
    <col min="7170" max="7170" width="10.1796875" style="27" bestFit="1" customWidth="1"/>
    <col min="7171" max="7171" width="12.1796875" style="27" customWidth="1"/>
    <col min="7172" max="7172" width="55.7265625" style="27" customWidth="1"/>
    <col min="7173" max="7424" width="8.81640625" style="27"/>
    <col min="7425" max="7425" width="4.1796875" style="27" customWidth="1"/>
    <col min="7426" max="7426" width="10.1796875" style="27" bestFit="1" customWidth="1"/>
    <col min="7427" max="7427" width="12.1796875" style="27" customWidth="1"/>
    <col min="7428" max="7428" width="55.7265625" style="27" customWidth="1"/>
    <col min="7429" max="7680" width="8.81640625" style="27"/>
    <col min="7681" max="7681" width="4.1796875" style="27" customWidth="1"/>
    <col min="7682" max="7682" width="10.1796875" style="27" bestFit="1" customWidth="1"/>
    <col min="7683" max="7683" width="12.1796875" style="27" customWidth="1"/>
    <col min="7684" max="7684" width="55.7265625" style="27" customWidth="1"/>
    <col min="7685" max="7936" width="8.81640625" style="27"/>
    <col min="7937" max="7937" width="4.1796875" style="27" customWidth="1"/>
    <col min="7938" max="7938" width="10.1796875" style="27" bestFit="1" customWidth="1"/>
    <col min="7939" max="7939" width="12.1796875" style="27" customWidth="1"/>
    <col min="7940" max="7940" width="55.7265625" style="27" customWidth="1"/>
    <col min="7941" max="8192" width="8.81640625" style="27"/>
    <col min="8193" max="8193" width="4.1796875" style="27" customWidth="1"/>
    <col min="8194" max="8194" width="10.1796875" style="27" bestFit="1" customWidth="1"/>
    <col min="8195" max="8195" width="12.1796875" style="27" customWidth="1"/>
    <col min="8196" max="8196" width="55.7265625" style="27" customWidth="1"/>
    <col min="8197" max="8448" width="8.81640625" style="27"/>
    <col min="8449" max="8449" width="4.1796875" style="27" customWidth="1"/>
    <col min="8450" max="8450" width="10.1796875" style="27" bestFit="1" customWidth="1"/>
    <col min="8451" max="8451" width="12.1796875" style="27" customWidth="1"/>
    <col min="8452" max="8452" width="55.7265625" style="27" customWidth="1"/>
    <col min="8453" max="8704" width="8.81640625" style="27"/>
    <col min="8705" max="8705" width="4.1796875" style="27" customWidth="1"/>
    <col min="8706" max="8706" width="10.1796875" style="27" bestFit="1" customWidth="1"/>
    <col min="8707" max="8707" width="12.1796875" style="27" customWidth="1"/>
    <col min="8708" max="8708" width="55.7265625" style="27" customWidth="1"/>
    <col min="8709" max="8960" width="8.81640625" style="27"/>
    <col min="8961" max="8961" width="4.1796875" style="27" customWidth="1"/>
    <col min="8962" max="8962" width="10.1796875" style="27" bestFit="1" customWidth="1"/>
    <col min="8963" max="8963" width="12.1796875" style="27" customWidth="1"/>
    <col min="8964" max="8964" width="55.7265625" style="27" customWidth="1"/>
    <col min="8965" max="9216" width="8.81640625" style="27"/>
    <col min="9217" max="9217" width="4.1796875" style="27" customWidth="1"/>
    <col min="9218" max="9218" width="10.1796875" style="27" bestFit="1" customWidth="1"/>
    <col min="9219" max="9219" width="12.1796875" style="27" customWidth="1"/>
    <col min="9220" max="9220" width="55.7265625" style="27" customWidth="1"/>
    <col min="9221" max="9472" width="8.81640625" style="27"/>
    <col min="9473" max="9473" width="4.1796875" style="27" customWidth="1"/>
    <col min="9474" max="9474" width="10.1796875" style="27" bestFit="1" customWidth="1"/>
    <col min="9475" max="9475" width="12.1796875" style="27" customWidth="1"/>
    <col min="9476" max="9476" width="55.7265625" style="27" customWidth="1"/>
    <col min="9477" max="9728" width="8.81640625" style="27"/>
    <col min="9729" max="9729" width="4.1796875" style="27" customWidth="1"/>
    <col min="9730" max="9730" width="10.1796875" style="27" bestFit="1" customWidth="1"/>
    <col min="9731" max="9731" width="12.1796875" style="27" customWidth="1"/>
    <col min="9732" max="9732" width="55.7265625" style="27" customWidth="1"/>
    <col min="9733" max="9984" width="8.81640625" style="27"/>
    <col min="9985" max="9985" width="4.1796875" style="27" customWidth="1"/>
    <col min="9986" max="9986" width="10.1796875" style="27" bestFit="1" customWidth="1"/>
    <col min="9987" max="9987" width="12.1796875" style="27" customWidth="1"/>
    <col min="9988" max="9988" width="55.7265625" style="27" customWidth="1"/>
    <col min="9989" max="10240" width="8.81640625" style="27"/>
    <col min="10241" max="10241" width="4.1796875" style="27" customWidth="1"/>
    <col min="10242" max="10242" width="10.1796875" style="27" bestFit="1" customWidth="1"/>
    <col min="10243" max="10243" width="12.1796875" style="27" customWidth="1"/>
    <col min="10244" max="10244" width="55.7265625" style="27" customWidth="1"/>
    <col min="10245" max="10496" width="8.81640625" style="27"/>
    <col min="10497" max="10497" width="4.1796875" style="27" customWidth="1"/>
    <col min="10498" max="10498" width="10.1796875" style="27" bestFit="1" customWidth="1"/>
    <col min="10499" max="10499" width="12.1796875" style="27" customWidth="1"/>
    <col min="10500" max="10500" width="55.7265625" style="27" customWidth="1"/>
    <col min="10501" max="10752" width="8.81640625" style="27"/>
    <col min="10753" max="10753" width="4.1796875" style="27" customWidth="1"/>
    <col min="10754" max="10754" width="10.1796875" style="27" bestFit="1" customWidth="1"/>
    <col min="10755" max="10755" width="12.1796875" style="27" customWidth="1"/>
    <col min="10756" max="10756" width="55.7265625" style="27" customWidth="1"/>
    <col min="10757" max="11008" width="8.81640625" style="27"/>
    <col min="11009" max="11009" width="4.1796875" style="27" customWidth="1"/>
    <col min="11010" max="11010" width="10.1796875" style="27" bestFit="1" customWidth="1"/>
    <col min="11011" max="11011" width="12.1796875" style="27" customWidth="1"/>
    <col min="11012" max="11012" width="55.7265625" style="27" customWidth="1"/>
    <col min="11013" max="11264" width="8.81640625" style="27"/>
    <col min="11265" max="11265" width="4.1796875" style="27" customWidth="1"/>
    <col min="11266" max="11266" width="10.1796875" style="27" bestFit="1" customWidth="1"/>
    <col min="11267" max="11267" width="12.1796875" style="27" customWidth="1"/>
    <col min="11268" max="11268" width="55.7265625" style="27" customWidth="1"/>
    <col min="11269" max="11520" width="8.81640625" style="27"/>
    <col min="11521" max="11521" width="4.1796875" style="27" customWidth="1"/>
    <col min="11522" max="11522" width="10.1796875" style="27" bestFit="1" customWidth="1"/>
    <col min="11523" max="11523" width="12.1796875" style="27" customWidth="1"/>
    <col min="11524" max="11524" width="55.7265625" style="27" customWidth="1"/>
    <col min="11525" max="11776" width="8.81640625" style="27"/>
    <col min="11777" max="11777" width="4.1796875" style="27" customWidth="1"/>
    <col min="11778" max="11778" width="10.1796875" style="27" bestFit="1" customWidth="1"/>
    <col min="11779" max="11779" width="12.1796875" style="27" customWidth="1"/>
    <col min="11780" max="11780" width="55.7265625" style="27" customWidth="1"/>
    <col min="11781" max="12032" width="8.81640625" style="27"/>
    <col min="12033" max="12033" width="4.1796875" style="27" customWidth="1"/>
    <col min="12034" max="12034" width="10.1796875" style="27" bestFit="1" customWidth="1"/>
    <col min="12035" max="12035" width="12.1796875" style="27" customWidth="1"/>
    <col min="12036" max="12036" width="55.7265625" style="27" customWidth="1"/>
    <col min="12037" max="12288" width="8.81640625" style="27"/>
    <col min="12289" max="12289" width="4.1796875" style="27" customWidth="1"/>
    <col min="12290" max="12290" width="10.1796875" style="27" bestFit="1" customWidth="1"/>
    <col min="12291" max="12291" width="12.1796875" style="27" customWidth="1"/>
    <col min="12292" max="12292" width="55.7265625" style="27" customWidth="1"/>
    <col min="12293" max="12544" width="8.81640625" style="27"/>
    <col min="12545" max="12545" width="4.1796875" style="27" customWidth="1"/>
    <col min="12546" max="12546" width="10.1796875" style="27" bestFit="1" customWidth="1"/>
    <col min="12547" max="12547" width="12.1796875" style="27" customWidth="1"/>
    <col min="12548" max="12548" width="55.7265625" style="27" customWidth="1"/>
    <col min="12549" max="12800" width="8.81640625" style="27"/>
    <col min="12801" max="12801" width="4.1796875" style="27" customWidth="1"/>
    <col min="12802" max="12802" width="10.1796875" style="27" bestFit="1" customWidth="1"/>
    <col min="12803" max="12803" width="12.1796875" style="27" customWidth="1"/>
    <col min="12804" max="12804" width="55.7265625" style="27" customWidth="1"/>
    <col min="12805" max="13056" width="8.81640625" style="27"/>
    <col min="13057" max="13057" width="4.1796875" style="27" customWidth="1"/>
    <col min="13058" max="13058" width="10.1796875" style="27" bestFit="1" customWidth="1"/>
    <col min="13059" max="13059" width="12.1796875" style="27" customWidth="1"/>
    <col min="13060" max="13060" width="55.7265625" style="27" customWidth="1"/>
    <col min="13061" max="13312" width="8.81640625" style="27"/>
    <col min="13313" max="13313" width="4.1796875" style="27" customWidth="1"/>
    <col min="13314" max="13314" width="10.1796875" style="27" bestFit="1" customWidth="1"/>
    <col min="13315" max="13315" width="12.1796875" style="27" customWidth="1"/>
    <col min="13316" max="13316" width="55.7265625" style="27" customWidth="1"/>
    <col min="13317" max="13568" width="8.81640625" style="27"/>
    <col min="13569" max="13569" width="4.1796875" style="27" customWidth="1"/>
    <col min="13570" max="13570" width="10.1796875" style="27" bestFit="1" customWidth="1"/>
    <col min="13571" max="13571" width="12.1796875" style="27" customWidth="1"/>
    <col min="13572" max="13572" width="55.7265625" style="27" customWidth="1"/>
    <col min="13573" max="13824" width="8.81640625" style="27"/>
    <col min="13825" max="13825" width="4.1796875" style="27" customWidth="1"/>
    <col min="13826" max="13826" width="10.1796875" style="27" bestFit="1" customWidth="1"/>
    <col min="13827" max="13827" width="12.1796875" style="27" customWidth="1"/>
    <col min="13828" max="13828" width="55.7265625" style="27" customWidth="1"/>
    <col min="13829" max="14080" width="8.81640625" style="27"/>
    <col min="14081" max="14081" width="4.1796875" style="27" customWidth="1"/>
    <col min="14082" max="14082" width="10.1796875" style="27" bestFit="1" customWidth="1"/>
    <col min="14083" max="14083" width="12.1796875" style="27" customWidth="1"/>
    <col min="14084" max="14084" width="55.7265625" style="27" customWidth="1"/>
    <col min="14085" max="14336" width="8.81640625" style="27"/>
    <col min="14337" max="14337" width="4.1796875" style="27" customWidth="1"/>
    <col min="14338" max="14338" width="10.1796875" style="27" bestFit="1" customWidth="1"/>
    <col min="14339" max="14339" width="12.1796875" style="27" customWidth="1"/>
    <col min="14340" max="14340" width="55.7265625" style="27" customWidth="1"/>
    <col min="14341" max="14592" width="8.81640625" style="27"/>
    <col min="14593" max="14593" width="4.1796875" style="27" customWidth="1"/>
    <col min="14594" max="14594" width="10.1796875" style="27" bestFit="1" customWidth="1"/>
    <col min="14595" max="14595" width="12.1796875" style="27" customWidth="1"/>
    <col min="14596" max="14596" width="55.7265625" style="27" customWidth="1"/>
    <col min="14597" max="14848" width="8.81640625" style="27"/>
    <col min="14849" max="14849" width="4.1796875" style="27" customWidth="1"/>
    <col min="14850" max="14850" width="10.1796875" style="27" bestFit="1" customWidth="1"/>
    <col min="14851" max="14851" width="12.1796875" style="27" customWidth="1"/>
    <col min="14852" max="14852" width="55.7265625" style="27" customWidth="1"/>
    <col min="14853" max="15104" width="8.81640625" style="27"/>
    <col min="15105" max="15105" width="4.1796875" style="27" customWidth="1"/>
    <col min="15106" max="15106" width="10.1796875" style="27" bestFit="1" customWidth="1"/>
    <col min="15107" max="15107" width="12.1796875" style="27" customWidth="1"/>
    <col min="15108" max="15108" width="55.7265625" style="27" customWidth="1"/>
    <col min="15109" max="15360" width="8.81640625" style="27"/>
    <col min="15361" max="15361" width="4.1796875" style="27" customWidth="1"/>
    <col min="15362" max="15362" width="10.1796875" style="27" bestFit="1" customWidth="1"/>
    <col min="15363" max="15363" width="12.1796875" style="27" customWidth="1"/>
    <col min="15364" max="15364" width="55.7265625" style="27" customWidth="1"/>
    <col min="15365" max="15616" width="8.81640625" style="27"/>
    <col min="15617" max="15617" width="4.1796875" style="27" customWidth="1"/>
    <col min="15618" max="15618" width="10.1796875" style="27" bestFit="1" customWidth="1"/>
    <col min="15619" max="15619" width="12.1796875" style="27" customWidth="1"/>
    <col min="15620" max="15620" width="55.7265625" style="27" customWidth="1"/>
    <col min="15621" max="15872" width="8.81640625" style="27"/>
    <col min="15873" max="15873" width="4.1796875" style="27" customWidth="1"/>
    <col min="15874" max="15874" width="10.1796875" style="27" bestFit="1" customWidth="1"/>
    <col min="15875" max="15875" width="12.1796875" style="27" customWidth="1"/>
    <col min="15876" max="15876" width="55.7265625" style="27" customWidth="1"/>
    <col min="15877" max="16128" width="8.81640625" style="27"/>
    <col min="16129" max="16129" width="4.1796875" style="27" customWidth="1"/>
    <col min="16130" max="16130" width="10.1796875" style="27" bestFit="1" customWidth="1"/>
    <col min="16131" max="16131" width="12.1796875" style="27" customWidth="1"/>
    <col min="16132" max="16132" width="55.7265625" style="27" customWidth="1"/>
    <col min="16133" max="16384" width="8.81640625" style="27"/>
  </cols>
  <sheetData>
    <row r="2" spans="2:4" ht="13" x14ac:dyDescent="0.3">
      <c r="B2" s="30" t="s">
        <v>184</v>
      </c>
    </row>
    <row r="4" spans="2:4" ht="13" x14ac:dyDescent="0.3">
      <c r="B4" s="31" t="s">
        <v>185</v>
      </c>
      <c r="C4" s="31" t="s">
        <v>186</v>
      </c>
      <c r="D4" s="31" t="s">
        <v>187</v>
      </c>
    </row>
    <row r="5" spans="2:4" x14ac:dyDescent="0.25">
      <c r="B5" s="32">
        <v>42125</v>
      </c>
      <c r="C5" s="33">
        <v>1</v>
      </c>
      <c r="D5" s="34" t="s">
        <v>188</v>
      </c>
    </row>
    <row r="6" spans="2:4" x14ac:dyDescent="0.25">
      <c r="B6" s="32"/>
      <c r="C6" s="33"/>
      <c r="D6" s="35"/>
    </row>
    <row r="7" spans="2:4" x14ac:dyDescent="0.25">
      <c r="B7" s="36"/>
      <c r="C7" s="33"/>
      <c r="D7" s="34"/>
    </row>
    <row r="8" spans="2:4" x14ac:dyDescent="0.25">
      <c r="B8" s="37"/>
      <c r="C8" s="33"/>
      <c r="D8" s="37"/>
    </row>
    <row r="9" spans="2:4" x14ac:dyDescent="0.25">
      <c r="B9" s="37"/>
      <c r="C9" s="33"/>
      <c r="D9" s="37"/>
    </row>
    <row r="10" spans="2:4" x14ac:dyDescent="0.25">
      <c r="B10" s="37"/>
      <c r="C10" s="33"/>
      <c r="D10" s="37"/>
    </row>
    <row r="11" spans="2:4" x14ac:dyDescent="0.25">
      <c r="B11" s="37"/>
      <c r="C11" s="33"/>
      <c r="D11" s="37"/>
    </row>
    <row r="12" spans="2:4" x14ac:dyDescent="0.25">
      <c r="B12" s="37"/>
      <c r="C12" s="33"/>
      <c r="D12" s="37"/>
    </row>
    <row r="13" spans="2:4" x14ac:dyDescent="0.25">
      <c r="B13" s="37"/>
      <c r="C13" s="33"/>
      <c r="D13" s="37"/>
    </row>
    <row r="14" spans="2:4" x14ac:dyDescent="0.25">
      <c r="B14" s="37"/>
      <c r="C14" s="33"/>
      <c r="D14" s="37"/>
    </row>
    <row r="15" spans="2:4" x14ac:dyDescent="0.25">
      <c r="B15" s="37"/>
      <c r="C15" s="33"/>
      <c r="D15" s="37"/>
    </row>
    <row r="16" spans="2:4" x14ac:dyDescent="0.25">
      <c r="B16" s="37"/>
      <c r="C16" s="33"/>
      <c r="D16" s="37"/>
    </row>
    <row r="17" spans="2:4" x14ac:dyDescent="0.25">
      <c r="B17" s="37"/>
      <c r="C17" s="33"/>
      <c r="D17" s="37"/>
    </row>
    <row r="18" spans="2:4" x14ac:dyDescent="0.25">
      <c r="B18" s="37"/>
      <c r="C18" s="33"/>
      <c r="D18" s="37"/>
    </row>
    <row r="19" spans="2:4" x14ac:dyDescent="0.25">
      <c r="B19" s="37"/>
      <c r="C19" s="33"/>
      <c r="D19" s="37"/>
    </row>
    <row r="20" spans="2:4" x14ac:dyDescent="0.25">
      <c r="B20" s="37"/>
      <c r="C20" s="33"/>
      <c r="D20" s="37"/>
    </row>
    <row r="21" spans="2:4" x14ac:dyDescent="0.25">
      <c r="B21" s="37"/>
      <c r="C21" s="33"/>
      <c r="D21" s="37"/>
    </row>
    <row r="22" spans="2:4" x14ac:dyDescent="0.25">
      <c r="B22" s="37"/>
      <c r="C22" s="33"/>
      <c r="D22" s="37"/>
    </row>
    <row r="23" spans="2:4" x14ac:dyDescent="0.25">
      <c r="B23" s="37"/>
      <c r="C23" s="33"/>
      <c r="D23" s="3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80033703C9B4289FA36CFBE52A624" ma:contentTypeVersion="18" ma:contentTypeDescription="Create a new document." ma:contentTypeScope="" ma:versionID="df3d1f2c912c67aab837989bc4eace5d">
  <xsd:schema xmlns:xsd="http://www.w3.org/2001/XMLSchema" xmlns:xs="http://www.w3.org/2001/XMLSchema" xmlns:p="http://schemas.microsoft.com/office/2006/metadata/properties" xmlns:ns2="10c873d5-23b6-4984-859e-b50939a50bbb" xmlns:ns3="1204e082-ddfc-4eaf-903e-5230b18e2dc9" targetNamespace="http://schemas.microsoft.com/office/2006/metadata/properties" ma:root="true" ma:fieldsID="0559938d4c14496af16d90bbea375cb6" ns2:_="" ns3:_="">
    <xsd:import namespace="10c873d5-23b6-4984-859e-b50939a50bbb"/>
    <xsd:import namespace="1204e082-ddfc-4eaf-903e-5230b18e2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873d5-23b6-4984-859e-b50939a50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2425d7-a59b-4313-bc0d-bbd020bd70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4e082-ddfc-4eaf-903e-5230b18e2d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bf5990-d41d-4a38-ad8f-a6ca9cf364e7}" ma:internalName="TaxCatchAll" ma:showField="CatchAllData" ma:web="1204e082-ddfc-4eaf-903e-5230b18e2d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c873d5-23b6-4984-859e-b50939a50bbb">
      <Terms xmlns="http://schemas.microsoft.com/office/infopath/2007/PartnerControls"/>
    </lcf76f155ced4ddcb4097134ff3c332f>
    <TaxCatchAll xmlns="1204e082-ddfc-4eaf-903e-5230b18e2d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93B64-3FE1-4F66-8A8D-FA3A6C60DD89}"/>
</file>

<file path=customXml/itemProps2.xml><?xml version="1.0" encoding="utf-8"?>
<ds:datastoreItem xmlns:ds="http://schemas.openxmlformats.org/officeDocument/2006/customXml" ds:itemID="{B90811E1-873C-40B2-9E88-DD6A9DCBEA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1450B9-F01D-40EF-9AEF-62A608C0C9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Changes</vt:lpstr>
      <vt:lpstr>Scope</vt:lpstr>
      <vt:lpstr>ErP Inputs</vt:lpstr>
      <vt:lpstr>LOW SCOP</vt:lpstr>
      <vt:lpstr>MEDIUM SCOP</vt:lpstr>
      <vt:lpstr>HIGH SCOP</vt:lpstr>
      <vt:lpstr>VERY HIGH SCOP</vt:lpstr>
      <vt:lpstr>Table 37</vt:lpstr>
      <vt:lpstr>Version Control</vt:lpstr>
      <vt:lpstr>'HIGH SCOP'!COPPL_a</vt:lpstr>
      <vt:lpstr>'LOW SCOP'!COPPL_a</vt:lpstr>
      <vt:lpstr>'MEDIUM SCOP'!COPPL_a</vt:lpstr>
      <vt:lpstr>'VERY HIGH SCOP'!COPPL_a</vt:lpstr>
      <vt:lpstr>'HIGH SCOP'!COPPL_b</vt:lpstr>
      <vt:lpstr>'LOW SCOP'!COPPL_b</vt:lpstr>
      <vt:lpstr>'MEDIUM SCOP'!COPPL_b</vt:lpstr>
      <vt:lpstr>'VERY HIGH SCOP'!COPPL_b</vt:lpstr>
      <vt:lpstr>'HIGH SCOP'!COPPL_c</vt:lpstr>
      <vt:lpstr>'LOW SCOP'!COPPL_c</vt:lpstr>
      <vt:lpstr>'MEDIUM SCOP'!COPPL_c</vt:lpstr>
      <vt:lpstr>'VERY HIGH SCOP'!COPPL_c</vt:lpstr>
      <vt:lpstr>'HIGH SCOP'!COPPL_d</vt:lpstr>
      <vt:lpstr>'LOW SCOP'!COPPL_d</vt:lpstr>
      <vt:lpstr>'MEDIUM SCOP'!COPPL_d</vt:lpstr>
      <vt:lpstr>'VERY HIGH SCOP'!COPPL_d</vt:lpstr>
      <vt:lpstr>'HIGH SCOP'!COPPL_Tbiv</vt:lpstr>
      <vt:lpstr>'LOW SCOP'!COPPL_Tbiv</vt:lpstr>
      <vt:lpstr>'MEDIUM SCOP'!COPPL_Tbiv</vt:lpstr>
      <vt:lpstr>'VERY HIGH SCOP'!COPPL_Tbiv</vt:lpstr>
      <vt:lpstr>'HIGH SCOP'!COPPL_TOL</vt:lpstr>
      <vt:lpstr>'LOW SCOP'!COPPL_TOL</vt:lpstr>
      <vt:lpstr>'MEDIUM SCOP'!COPPL_TOL</vt:lpstr>
      <vt:lpstr>'VERY HIGH SCOP'!COPPL_TOL</vt:lpstr>
      <vt:lpstr>'HIGH SCOP'!Tdesignh</vt:lpstr>
      <vt:lpstr>'LOW SCOP'!Tdesignh</vt:lpstr>
      <vt:lpstr>'MEDIUM SCOP'!Tdesignh</vt:lpstr>
      <vt:lpstr>'VERY HIGH SCOP'!Tdesignh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MCS SCOP Calculator</dc:title>
  <dc:creator>John Davies</dc:creator>
  <cp:lastModifiedBy>Alison Hardman</cp:lastModifiedBy>
  <cp:lastPrinted>2015-09-10T09:16:51Z</cp:lastPrinted>
  <dcterms:created xsi:type="dcterms:W3CDTF">2012-11-29T10:15:26Z</dcterms:created>
  <dcterms:modified xsi:type="dcterms:W3CDTF">2025-01-08T19:57:57Z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0x01010059C80033703C9B4289FA36CFBE52A624</vt:lpwstr>
  </property>
</Properties>
</file>